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 tabRatio="817" activeTab="1"/>
  </bookViews>
  <sheets>
    <sheet name="CRONOGRAMA" sheetId="30" r:id="rId1"/>
    <sheet name="PLANILHA ORÇAMENTÁRIA" sheetId="29" r:id="rId2"/>
    <sheet name="COMPOSIÇÃO" sheetId="32" r:id="rId3"/>
    <sheet name="BDI" sheetId="35" r:id="rId4"/>
  </sheets>
  <definedNames>
    <definedName name="_xlnm.Print_Area" localSheetId="2">COMPOSIÇÃO!$A$1:$J$80</definedName>
    <definedName name="_xlnm.Print_Area" localSheetId="0">CRONOGRAMA!$A$1:$H$26</definedName>
    <definedName name="_xlnm.Print_Area" localSheetId="1">'PLANILHA ORÇAMENTÁRIA'!$A$1:$K$42</definedName>
    <definedName name="_xlnm.Print_Titles" localSheetId="2">COMPOSIÇÃO!$7:$8</definedName>
    <definedName name="_xlnm.Print_Titles" localSheetId="0">CRONOGRAMA!$A:$C,CRONOGRAMA!$1:$8</definedName>
    <definedName name="_xlnm.Print_Titles" localSheetId="1">'PLANILHA ORÇAMENTÁRIA'!$7:$7</definedName>
  </definedNames>
  <calcPr calcId="162913"/>
</workbook>
</file>

<file path=xl/calcChain.xml><?xml version="1.0" encoding="utf-8"?>
<calcChain xmlns="http://schemas.openxmlformats.org/spreadsheetml/2006/main">
  <c r="B20" i="30" l="1"/>
  <c r="B17" i="30"/>
  <c r="B14" i="30"/>
  <c r="B13" i="30"/>
  <c r="H21" i="29"/>
  <c r="G21" i="29"/>
  <c r="E21" i="29"/>
  <c r="D21" i="29"/>
  <c r="C21" i="29"/>
  <c r="H177" i="32"/>
  <c r="I176" i="32"/>
  <c r="I175" i="32"/>
  <c r="H174" i="32"/>
  <c r="I21" i="29" l="1"/>
  <c r="J21" i="29" s="1"/>
  <c r="K21" i="29" s="1"/>
  <c r="I174" i="32"/>
  <c r="J174" i="32" s="1"/>
  <c r="A3" i="35" l="1"/>
  <c r="A2" i="35"/>
  <c r="A1" i="35"/>
  <c r="K5" i="29"/>
  <c r="BU315" i="35"/>
  <c r="BU314" i="35"/>
  <c r="BU313" i="35"/>
  <c r="BU312" i="35"/>
  <c r="BT312" i="35"/>
  <c r="CE311" i="35"/>
  <c r="CD311" i="35"/>
  <c r="CD312" i="35" s="1"/>
  <c r="CD313" i="35" s="1"/>
  <c r="CD314" i="35" s="1"/>
  <c r="CD315" i="35" s="1"/>
  <c r="CD316" i="35" s="1"/>
  <c r="BU311" i="35"/>
  <c r="BT310" i="35"/>
  <c r="BU310" i="35" s="1"/>
  <c r="CD305" i="35"/>
  <c r="CD306" i="35" s="1"/>
  <c r="CD307" i="35" s="1"/>
  <c r="CD308" i="35" s="1"/>
  <c r="CD309" i="35" s="1"/>
  <c r="CE304" i="35"/>
  <c r="CD304" i="35"/>
  <c r="CD299" i="35"/>
  <c r="CD300" i="35" s="1"/>
  <c r="CD301" i="35" s="1"/>
  <c r="CD302" i="35" s="1"/>
  <c r="CD303" i="35" s="1"/>
  <c r="CE298" i="35"/>
  <c r="CD298" i="35"/>
  <c r="CE291" i="35"/>
  <c r="CD291" i="35"/>
  <c r="CD292" i="35" s="1"/>
  <c r="CD293" i="35" s="1"/>
  <c r="CD294" i="35" s="1"/>
  <c r="CD295" i="35" s="1"/>
  <c r="CD296" i="35" s="1"/>
  <c r="CE283" i="35"/>
  <c r="CD283" i="35"/>
  <c r="CD284" i="35" s="1"/>
  <c r="CD285" i="35" s="1"/>
  <c r="CD286" i="35" s="1"/>
  <c r="CD287" i="35" s="1"/>
  <c r="CD288" i="35" s="1"/>
  <c r="CD276" i="35"/>
  <c r="CD277" i="35" s="1"/>
  <c r="CD278" i="35" s="1"/>
  <c r="CD279" i="35" s="1"/>
  <c r="CD280" i="35" s="1"/>
  <c r="CE275" i="35"/>
  <c r="CD275" i="35"/>
  <c r="CI271" i="35"/>
  <c r="CI270" i="35"/>
  <c r="BV266" i="35"/>
  <c r="BV265" i="35"/>
  <c r="BV264" i="35"/>
  <c r="BU299" i="35" s="1"/>
  <c r="BV263" i="35"/>
  <c r="BV262" i="35"/>
  <c r="BV261" i="35"/>
  <c r="K58" i="35"/>
  <c r="K49" i="35"/>
  <c r="I40" i="35"/>
  <c r="I39" i="35"/>
  <c r="I38" i="35"/>
  <c r="I37" i="35"/>
  <c r="I36" i="35"/>
  <c r="F27" i="35"/>
  <c r="F42" i="35" s="1"/>
  <c r="I42" i="35" s="1"/>
  <c r="C25" i="35"/>
  <c r="K12" i="35"/>
  <c r="H40" i="29"/>
  <c r="G40" i="29"/>
  <c r="E40" i="29"/>
  <c r="D40" i="29"/>
  <c r="C40" i="29"/>
  <c r="E39" i="29"/>
  <c r="D39" i="29"/>
  <c r="C39" i="29"/>
  <c r="H22" i="29"/>
  <c r="G22" i="29"/>
  <c r="E22" i="29"/>
  <c r="D22" i="29"/>
  <c r="C22" i="29"/>
  <c r="BW299" i="35" l="1"/>
  <c r="D54" i="35" s="1"/>
  <c r="BU300" i="35"/>
  <c r="BV299" i="35"/>
  <c r="C54" i="35" s="1"/>
  <c r="B16" i="35"/>
  <c r="BX299" i="35"/>
  <c r="E54" i="35" s="1"/>
  <c r="E49" i="35"/>
  <c r="B51" i="35" s="1"/>
  <c r="F60" i="35"/>
  <c r="I60" i="35" s="1"/>
  <c r="E58" i="35" s="1"/>
  <c r="BU301" i="35" l="1"/>
  <c r="BV300" i="35"/>
  <c r="C36" i="35" s="1"/>
  <c r="BX300" i="35"/>
  <c r="E36" i="35" s="1"/>
  <c r="K36" i="35" s="1"/>
  <c r="BW300" i="35"/>
  <c r="D36" i="35" s="1"/>
  <c r="BX301" i="35" l="1"/>
  <c r="E37" i="35" s="1"/>
  <c r="BW301" i="35"/>
  <c r="D37" i="35" s="1"/>
  <c r="BU302" i="35"/>
  <c r="BV301" i="35"/>
  <c r="C37" i="35" s="1"/>
  <c r="BX302" i="35" l="1"/>
  <c r="E38" i="35" s="1"/>
  <c r="BW302" i="35"/>
  <c r="D38" i="35" s="1"/>
  <c r="BU303" i="35"/>
  <c r="BV302" i="35"/>
  <c r="C38" i="35" s="1"/>
  <c r="K37" i="35"/>
  <c r="BW303" i="35" l="1"/>
  <c r="D39" i="35" s="1"/>
  <c r="BU304" i="35"/>
  <c r="BV303" i="35"/>
  <c r="C39" i="35" s="1"/>
  <c r="BX303" i="35"/>
  <c r="E39" i="35" s="1"/>
  <c r="K39" i="35" s="1"/>
  <c r="K38" i="35"/>
  <c r="BV304" i="35" l="1"/>
  <c r="C40" i="35" s="1"/>
  <c r="BX304" i="35"/>
  <c r="E40" i="35" s="1"/>
  <c r="K40" i="35" s="1"/>
  <c r="BW304" i="35"/>
  <c r="D40" i="35" s="1"/>
  <c r="I23" i="32" l="1"/>
  <c r="D11" i="29" l="1"/>
  <c r="E11" i="29" l="1"/>
  <c r="C11" i="29"/>
  <c r="H19" i="32"/>
  <c r="H18" i="32"/>
  <c r="I17" i="32"/>
  <c r="H16" i="32"/>
  <c r="I15" i="32"/>
  <c r="H14" i="32"/>
  <c r="H13" i="32" s="1"/>
  <c r="G11" i="29" s="1"/>
  <c r="K13" i="32"/>
  <c r="I13" i="32" l="1"/>
  <c r="J13" i="32" s="1"/>
  <c r="E35" i="29"/>
  <c r="D35" i="29"/>
  <c r="C35" i="29"/>
  <c r="D34" i="29"/>
  <c r="C34" i="29"/>
  <c r="H172" i="32"/>
  <c r="H171" i="32"/>
  <c r="H170" i="32"/>
  <c r="I169" i="32"/>
  <c r="I168" i="32" s="1"/>
  <c r="H166" i="32"/>
  <c r="H163" i="32" s="1"/>
  <c r="G35" i="29" s="1"/>
  <c r="I165" i="32"/>
  <c r="I164" i="32"/>
  <c r="H160" i="32"/>
  <c r="H157" i="32" s="1"/>
  <c r="G34" i="29" s="1"/>
  <c r="I159" i="32"/>
  <c r="I158" i="32"/>
  <c r="H155" i="32"/>
  <c r="H152" i="32" s="1"/>
  <c r="G33" i="29" s="1"/>
  <c r="I154" i="32"/>
  <c r="I153" i="32"/>
  <c r="H150" i="32"/>
  <c r="H149" i="32"/>
  <c r="I148" i="32"/>
  <c r="I147" i="32"/>
  <c r="E34" i="29"/>
  <c r="E33" i="29"/>
  <c r="D33" i="29"/>
  <c r="C33" i="29"/>
  <c r="E32" i="29"/>
  <c r="D32" i="29"/>
  <c r="C32" i="29"/>
  <c r="E31" i="29"/>
  <c r="D31" i="29"/>
  <c r="C31" i="29"/>
  <c r="E29" i="29"/>
  <c r="D29" i="29"/>
  <c r="C29" i="29"/>
  <c r="H57" i="32"/>
  <c r="H63" i="32"/>
  <c r="H62" i="32"/>
  <c r="I61" i="32"/>
  <c r="I60" i="32"/>
  <c r="H56" i="32"/>
  <c r="I55" i="32"/>
  <c r="I54" i="32"/>
  <c r="I163" i="32" l="1"/>
  <c r="H35" i="29" s="1"/>
  <c r="I35" i="29" s="1"/>
  <c r="H11" i="29"/>
  <c r="I11" i="29" s="1"/>
  <c r="I157" i="32"/>
  <c r="J157" i="32" s="1"/>
  <c r="I152" i="32"/>
  <c r="J152" i="32" s="1"/>
  <c r="J163" i="32"/>
  <c r="H168" i="32"/>
  <c r="J168" i="32" s="1"/>
  <c r="H146" i="32"/>
  <c r="G32" i="29" s="1"/>
  <c r="I146" i="32"/>
  <c r="H32" i="29" s="1"/>
  <c r="H59" i="32"/>
  <c r="I59" i="32"/>
  <c r="I53" i="32" s="1"/>
  <c r="H34" i="29" l="1"/>
  <c r="H33" i="29"/>
  <c r="J146" i="32"/>
  <c r="H28" i="29"/>
  <c r="H53" i="32"/>
  <c r="G28" i="29"/>
  <c r="J59" i="32"/>
  <c r="J53" i="32" l="1"/>
  <c r="H33" i="32" l="1"/>
  <c r="H32" i="32"/>
  <c r="H31" i="32"/>
  <c r="H30" i="32"/>
  <c r="H29" i="32"/>
  <c r="I28" i="32"/>
  <c r="I27" i="32"/>
  <c r="H26" i="32" l="1"/>
  <c r="G12" i="29" s="1"/>
  <c r="I26" i="32"/>
  <c r="H12" i="29" s="1"/>
  <c r="J26" i="32" l="1"/>
  <c r="I12" i="29"/>
  <c r="E10" i="29"/>
  <c r="D10" i="29"/>
  <c r="C10" i="29"/>
  <c r="E38" i="29"/>
  <c r="D38" i="29"/>
  <c r="C38" i="29"/>
  <c r="E37" i="29"/>
  <c r="D37" i="29"/>
  <c r="C37" i="29"/>
  <c r="E36" i="29"/>
  <c r="D36" i="29"/>
  <c r="C36" i="29"/>
  <c r="E30" i="29"/>
  <c r="D30" i="29"/>
  <c r="C30" i="29"/>
  <c r="E28" i="29"/>
  <c r="D28" i="29"/>
  <c r="C28" i="29"/>
  <c r="E27" i="29"/>
  <c r="D27" i="29"/>
  <c r="C27" i="29"/>
  <c r="E26" i="29"/>
  <c r="D26" i="29"/>
  <c r="C26" i="29"/>
  <c r="E20" i="29"/>
  <c r="D20" i="29"/>
  <c r="C20" i="29"/>
  <c r="E19" i="29"/>
  <c r="D19" i="29"/>
  <c r="C19" i="29"/>
  <c r="E16" i="29"/>
  <c r="D16" i="29"/>
  <c r="C16" i="29"/>
  <c r="I22" i="29" l="1"/>
  <c r="I128" i="32" l="1"/>
  <c r="I127" i="32"/>
  <c r="H126" i="32"/>
  <c r="H123" i="32" s="1"/>
  <c r="I125" i="32"/>
  <c r="I124" i="32"/>
  <c r="I123" i="32" l="1"/>
  <c r="J123" i="32" s="1"/>
  <c r="I90" i="32" l="1"/>
  <c r="I22" i="32"/>
  <c r="I144" i="32" l="1"/>
  <c r="I143" i="32" s="1"/>
  <c r="H143" i="32"/>
  <c r="I141" i="32"/>
  <c r="I140" i="32" s="1"/>
  <c r="H140" i="32"/>
  <c r="H138" i="32"/>
  <c r="H135" i="32" s="1"/>
  <c r="I137" i="32"/>
  <c r="I136" i="32"/>
  <c r="H133" i="32"/>
  <c r="H130" i="32" s="1"/>
  <c r="I132" i="32"/>
  <c r="I131" i="32"/>
  <c r="H20" i="29" l="1"/>
  <c r="G19" i="29"/>
  <c r="H19" i="29"/>
  <c r="G38" i="29"/>
  <c r="G20" i="29"/>
  <c r="J140" i="32"/>
  <c r="I130" i="32"/>
  <c r="J143" i="32"/>
  <c r="I135" i="32"/>
  <c r="I20" i="29" l="1"/>
  <c r="I19" i="29"/>
  <c r="H38" i="29"/>
  <c r="H30" i="29"/>
  <c r="J130" i="32"/>
  <c r="J135" i="32"/>
  <c r="I38" i="29" l="1"/>
  <c r="B10" i="30"/>
  <c r="H38" i="32" l="1"/>
  <c r="H35" i="32" s="1"/>
  <c r="I37" i="32"/>
  <c r="I36" i="32"/>
  <c r="H69" i="32"/>
  <c r="H68" i="32"/>
  <c r="I67" i="32"/>
  <c r="I66" i="32"/>
  <c r="H121" i="32"/>
  <c r="H118" i="32" s="1"/>
  <c r="I120" i="32"/>
  <c r="I119" i="32"/>
  <c r="H116" i="32"/>
  <c r="H115" i="32"/>
  <c r="H114" i="32"/>
  <c r="H113" i="32"/>
  <c r="H112" i="32"/>
  <c r="H111" i="32"/>
  <c r="H110" i="32"/>
  <c r="H109" i="32"/>
  <c r="H108" i="32"/>
  <c r="H107" i="32"/>
  <c r="H106" i="32"/>
  <c r="H105" i="32"/>
  <c r="I104" i="32"/>
  <c r="I103" i="32"/>
  <c r="I102" i="32"/>
  <c r="H99" i="32"/>
  <c r="H98" i="32"/>
  <c r="H97" i="32"/>
  <c r="I96" i="32"/>
  <c r="I95" i="32"/>
  <c r="I94" i="32"/>
  <c r="I91" i="32"/>
  <c r="I89" i="32"/>
  <c r="I88" i="32"/>
  <c r="H87" i="32"/>
  <c r="H84" i="32"/>
  <c r="H81" i="32" s="1"/>
  <c r="I83" i="32"/>
  <c r="I82" i="32"/>
  <c r="H79" i="32"/>
  <c r="H76" i="32" s="1"/>
  <c r="I78" i="32"/>
  <c r="I77" i="32"/>
  <c r="H74" i="32"/>
  <c r="H71" i="32" s="1"/>
  <c r="I73" i="32"/>
  <c r="I72" i="32"/>
  <c r="H51" i="32"/>
  <c r="H50" i="32"/>
  <c r="I49" i="32"/>
  <c r="I48" i="32"/>
  <c r="H44" i="32"/>
  <c r="H41" i="32" s="1"/>
  <c r="I43" i="32"/>
  <c r="I42" i="32"/>
  <c r="I24" i="32"/>
  <c r="H21" i="32"/>
  <c r="I9" i="32"/>
  <c r="H10" i="29" s="1"/>
  <c r="H9" i="32"/>
  <c r="G10" i="29" s="1"/>
  <c r="G39" i="29" l="1"/>
  <c r="G36" i="29"/>
  <c r="G37" i="29"/>
  <c r="G26" i="29"/>
  <c r="G16" i="29"/>
  <c r="I35" i="32"/>
  <c r="J35" i="32" s="1"/>
  <c r="I21" i="32"/>
  <c r="I47" i="32"/>
  <c r="H65" i="32"/>
  <c r="G29" i="29" s="1"/>
  <c r="I41" i="32"/>
  <c r="J9" i="32"/>
  <c r="I10" i="29" s="1"/>
  <c r="I118" i="32"/>
  <c r="H101" i="32"/>
  <c r="G31" i="29" s="1"/>
  <c r="H47" i="32"/>
  <c r="G30" i="29" s="1"/>
  <c r="I30" i="29" s="1"/>
  <c r="I93" i="32"/>
  <c r="H93" i="32"/>
  <c r="I71" i="32"/>
  <c r="I76" i="32"/>
  <c r="I81" i="32"/>
  <c r="I87" i="32"/>
  <c r="I101" i="32"/>
  <c r="H31" i="29" s="1"/>
  <c r="I65" i="32"/>
  <c r="H29" i="29" s="1"/>
  <c r="H39" i="29" l="1"/>
  <c r="H27" i="29"/>
  <c r="H37" i="29"/>
  <c r="H36" i="29"/>
  <c r="H26" i="29"/>
  <c r="G27" i="29"/>
  <c r="H16" i="29"/>
  <c r="I28" i="29"/>
  <c r="J21" i="32"/>
  <c r="J118" i="32"/>
  <c r="J76" i="32"/>
  <c r="J65" i="32"/>
  <c r="J87" i="32"/>
  <c r="J81" i="32"/>
  <c r="J71" i="32"/>
  <c r="J41" i="32"/>
  <c r="J47" i="32"/>
  <c r="J101" i="32"/>
  <c r="I31" i="29" s="1"/>
  <c r="J93" i="32"/>
  <c r="I29" i="29" l="1"/>
  <c r="I40" i="29"/>
  <c r="I27" i="29"/>
  <c r="I16" i="29"/>
  <c r="I36" i="29"/>
  <c r="I37" i="29"/>
  <c r="I32" i="29"/>
  <c r="I34" i="29"/>
  <c r="I33" i="29"/>
  <c r="I39" i="29"/>
  <c r="I26" i="29"/>
  <c r="A2" i="30"/>
  <c r="B9" i="30"/>
  <c r="E12" i="29" l="1"/>
  <c r="D12" i="29"/>
  <c r="C12" i="29"/>
  <c r="J11" i="29" l="1"/>
  <c r="K11" i="29" s="1"/>
  <c r="J12" i="29"/>
  <c r="J35" i="29"/>
  <c r="K35" i="29" s="1"/>
  <c r="J31" i="29"/>
  <c r="K31" i="29" s="1"/>
  <c r="J34" i="29"/>
  <c r="K34" i="29" s="1"/>
  <c r="J32" i="29"/>
  <c r="K32" i="29" s="1"/>
  <c r="J33" i="29"/>
  <c r="K33" i="29" s="1"/>
  <c r="J29" i="29"/>
  <c r="K29" i="29" s="1"/>
  <c r="J22" i="29"/>
  <c r="K22" i="29" s="1"/>
  <c r="J10" i="29"/>
  <c r="K10" i="29" s="1"/>
  <c r="J19" i="29"/>
  <c r="K19" i="29" s="1"/>
  <c r="J20" i="29"/>
  <c r="K20" i="29" s="1"/>
  <c r="J16" i="29"/>
  <c r="K16" i="29" s="1"/>
  <c r="K17" i="29" s="1"/>
  <c r="H14" i="30" s="1"/>
  <c r="J30" i="29"/>
  <c r="K30" i="29" s="1"/>
  <c r="J40" i="29"/>
  <c r="K40" i="29" s="1"/>
  <c r="J26" i="29"/>
  <c r="K26" i="29" s="1"/>
  <c r="J37" i="29"/>
  <c r="K37" i="29" s="1"/>
  <c r="J28" i="29"/>
  <c r="K28" i="29" s="1"/>
  <c r="J39" i="29"/>
  <c r="K39" i="29" s="1"/>
  <c r="J36" i="29"/>
  <c r="K36" i="29" s="1"/>
  <c r="J27" i="29"/>
  <c r="K27" i="29" s="1"/>
  <c r="J38" i="29"/>
  <c r="K38" i="29" s="1"/>
  <c r="A4" i="30"/>
  <c r="A3" i="30"/>
  <c r="A4" i="29"/>
  <c r="A3" i="29"/>
  <c r="A2" i="29"/>
  <c r="K23" i="29" l="1"/>
  <c r="H17" i="30" s="1"/>
  <c r="K41" i="29"/>
  <c r="H20" i="30" s="1"/>
  <c r="K14" i="29" l="1"/>
  <c r="F17" i="30"/>
  <c r="G17" i="30"/>
  <c r="E17" i="30"/>
  <c r="D17" i="30"/>
  <c r="G14" i="30"/>
  <c r="F14" i="30"/>
  <c r="D14" i="30" l="1"/>
  <c r="E14" i="30"/>
  <c r="G20" i="30" l="1"/>
  <c r="F20" i="30"/>
  <c r="E20" i="30"/>
  <c r="D20" i="30"/>
  <c r="K12" i="29" l="1"/>
  <c r="K13" i="29" l="1"/>
  <c r="K8" i="29" l="1"/>
  <c r="K42" i="29" s="1"/>
  <c r="H10" i="30"/>
  <c r="H23" i="30" s="1"/>
  <c r="E10" i="30" l="1"/>
  <c r="E23" i="30" s="1"/>
  <c r="E25" i="30" s="1"/>
  <c r="G10" i="30"/>
  <c r="G23" i="30" s="1"/>
  <c r="G25" i="30" s="1"/>
  <c r="D10" i="30"/>
  <c r="D23" i="30" s="1"/>
  <c r="D25" i="30" s="1"/>
  <c r="D26" i="30" s="1"/>
  <c r="F10" i="30"/>
  <c r="F23" i="30" s="1"/>
  <c r="F25" i="30" s="1"/>
  <c r="C10" i="30"/>
  <c r="C20" i="30"/>
  <c r="C14" i="30"/>
  <c r="C17" i="30"/>
  <c r="C23" i="30" l="1"/>
  <c r="D24" i="30"/>
  <c r="E24" i="30" s="1"/>
  <c r="F24" i="30" s="1"/>
  <c r="G24" i="30" s="1"/>
  <c r="E26" i="30"/>
  <c r="F26" i="30" s="1"/>
  <c r="G26" i="30" s="1"/>
</calcChain>
</file>

<file path=xl/sharedStrings.xml><?xml version="1.0" encoding="utf-8"?>
<sst xmlns="http://schemas.openxmlformats.org/spreadsheetml/2006/main" count="724" uniqueCount="288">
  <si>
    <t>Und</t>
  </si>
  <si>
    <t>M</t>
  </si>
  <si>
    <t>%</t>
  </si>
  <si>
    <t>TOTAL</t>
  </si>
  <si>
    <t>Ítem</t>
  </si>
  <si>
    <t>SINAPI/ COMP.</t>
  </si>
  <si>
    <t>Quant</t>
  </si>
  <si>
    <t>Total</t>
  </si>
  <si>
    <t>SERVIÇOS PRELIMINARES</t>
  </si>
  <si>
    <t>1.1</t>
  </si>
  <si>
    <t>SUB TOTAL</t>
  </si>
  <si>
    <t>CRONOGRAMA FÍSICO FINANCEIRO</t>
  </si>
  <si>
    <t>DESEMBOLSO ACUMULADO</t>
  </si>
  <si>
    <t>PERCENTUAL MENSAL ( % )</t>
  </si>
  <si>
    <t>PERCENTUAL ACUMULADO ( % )</t>
  </si>
  <si>
    <t>H</t>
  </si>
  <si>
    <t>SERT</t>
  </si>
  <si>
    <t>UN</t>
  </si>
  <si>
    <t/>
  </si>
  <si>
    <t>COMPOSICAO</t>
  </si>
  <si>
    <t>CHP</t>
  </si>
  <si>
    <t>SERVENTE COM ENCARGOS COMPLEMENTARES</t>
  </si>
  <si>
    <t>AUXILIAR DE ELETRICISTA COM ENCARGOS COMPLEMENTARES</t>
  </si>
  <si>
    <t>ELETRICISTA COM ENCARGOS COMPLEMENTARES</t>
  </si>
  <si>
    <t>INSUMO</t>
  </si>
  <si>
    <t>INEL</t>
  </si>
  <si>
    <t>COTAÇÃO</t>
  </si>
  <si>
    <t>Material</t>
  </si>
  <si>
    <t>Mão de Obra</t>
  </si>
  <si>
    <t>ART - ANOTAÇÃO DE RESPONSABILIDADE TÉCNICA</t>
  </si>
  <si>
    <t>% serv.</t>
  </si>
  <si>
    <t>UN.</t>
  </si>
  <si>
    <t>88264</t>
  </si>
  <si>
    <t>88247</t>
  </si>
  <si>
    <t>88316</t>
  </si>
  <si>
    <t>ANOTAÇÃO DE RESPONSABILIDADE TÉCNICA COM VALOR DE CONTRATO ACIMA DE R$15.000,00</t>
  </si>
  <si>
    <t>21127</t>
  </si>
  <si>
    <t>FITA ISOLANTE ADESIVA ANTICHAMA, USO ATE 750 V, EM ROLO DE 19 MM X 5 M</t>
  </si>
  <si>
    <t>Referência</t>
  </si>
  <si>
    <t>Especificações</t>
  </si>
  <si>
    <t>Unidade</t>
  </si>
  <si>
    <t>Coef</t>
  </si>
  <si>
    <t>V. Unit</t>
  </si>
  <si>
    <t>Materiais</t>
  </si>
  <si>
    <t>M. de Obra</t>
  </si>
  <si>
    <t>COMPOSIÇÃO UNITÁRIA DE PREÇOS</t>
  </si>
  <si>
    <t>Especificação</t>
  </si>
  <si>
    <t>M3</t>
  </si>
  <si>
    <t>CUSTO</t>
  </si>
  <si>
    <t>COMPOSIÇÃO</t>
  </si>
  <si>
    <t>CREA-MS</t>
  </si>
  <si>
    <t>ADMT</t>
  </si>
  <si>
    <t>PLANILHA ORÇAMENTÁRIA</t>
  </si>
  <si>
    <t>TOTAL SERVIÇOS PRELIMINARES</t>
  </si>
  <si>
    <t xml:space="preserve">DESEMBOLSO MENSAL COM BDI </t>
  </si>
  <si>
    <t>CONECTOR DE DERIVAÇÃO PERFURANTE - PRINCIPAL 10-95MM² - DERIVAÇÃO 1,5-10MM² - FORNECIMENTO E INSTALAÇÃO</t>
  </si>
  <si>
    <t>CONECTOR DE DERIVAÇÃO PERFURANTE - PRINCIPAL 10-95MM² - DERIVAÇÃO 1,5-10MM²</t>
  </si>
  <si>
    <t xml:space="preserve">COMPOSIÇÃO </t>
  </si>
  <si>
    <t>91926</t>
  </si>
  <si>
    <t>CABO DE COBRE FLEXÍVEL ISOLADO, 2,5 MM², ANTI-CHAMA 450/750 V, PARA CIRCUITOS TERMINAIS - FORNECIMENTO E INSTALAÇÃO. AF_12/2015</t>
  </si>
  <si>
    <t>CABO DE COBRE ISOLAMENTO ANTI-CHAMA 450/750V 2,5MM2, TP PIRASTIC PIRELLI OU EQUIV</t>
  </si>
  <si>
    <t>RELE FOTOELETRICO P/ COMANDO DE ILUMINACAO EXTERNA 220V/1000W - FORNECIMENTO E INSTALACAO</t>
  </si>
  <si>
    <t>RELE FOTOELETRICO INTERNO E EXTERNO BIVOLT 1000 W, DE CONECTOR, SEM BASE</t>
  </si>
  <si>
    <t>ADMINISTRAÇÃO</t>
  </si>
  <si>
    <t>SERVIÇO DE TRANSPORTE</t>
  </si>
  <si>
    <t>SERP</t>
  </si>
  <si>
    <t>A</t>
  </si>
  <si>
    <t>B</t>
  </si>
  <si>
    <t>INSTALAÇÃO ELÉTRICA</t>
  </si>
  <si>
    <t>CUSTO UNITÁRIO</t>
  </si>
  <si>
    <t>Construção e Manutenção de Estações e Redes de Distribuição de Energia Elétrica</t>
  </si>
  <si>
    <t>Administração Central</t>
  </si>
  <si>
    <t>Despesas Financeiras</t>
  </si>
  <si>
    <t>Lucro</t>
  </si>
  <si>
    <t>Construção de Redes de Abastecimento de Água, Coleta de Esgoto e Construções Correlatas</t>
  </si>
  <si>
    <t>Fornecimento de Materiais e Equipamentos</t>
  </si>
  <si>
    <t>BDI</t>
  </si>
  <si>
    <t>FITA ISOLANTE DE BORRACHA AUTOFUSAO, USO ATE 69 KV (ALTA TENSAO) - FORNECIMENTO E APLICAÇÃO</t>
  </si>
  <si>
    <t xml:space="preserve">FITA ISOLANTE DE BORRACHA AUTOFUSAO, USO ATE 69 KV (ALTA TENSAO) </t>
  </si>
  <si>
    <t>FAZER COTAÇÃO</t>
  </si>
  <si>
    <t>OK</t>
  </si>
  <si>
    <t>ok</t>
  </si>
  <si>
    <t xml:space="preserve">REFERÊNCIA: </t>
  </si>
  <si>
    <t>COMPOSIÇÃO ANALÍTICA ORSE - 11995/ORSE</t>
  </si>
  <si>
    <t>SERVIÇOS CREAMS TABELA I TAXAS (Conforme Decisão PL-1759/2017)</t>
  </si>
  <si>
    <t>MOBILIZACAO E DESMOBILIZAÇÃO DE 01 EQUIPAMENTO CAMINHÃO MUNCK COM CESTO AÉREO, DISTANCIA DE ATE 20KM</t>
  </si>
  <si>
    <t>COMPOSIÇÃO ANALÍTICA SINAPI - 74231/1</t>
  </si>
  <si>
    <t>REF.: 12713/ORSE</t>
  </si>
  <si>
    <t>OBRA: IMPLANTAÇÃO, MELHORIA E MODERNIZAÇÃO DO SISTEMA DE ILUMINAÇÃO PÚBLICA COM LUMINÁRIAS LED</t>
  </si>
  <si>
    <t>Total (R$)</t>
  </si>
  <si>
    <t>Custo   Serv. S/ BDI</t>
  </si>
  <si>
    <t>Custo   Serv. C/ BDI</t>
  </si>
  <si>
    <t>TOTAL DAS OBRAS COM  BDI:</t>
  </si>
  <si>
    <t>Códigos</t>
  </si>
  <si>
    <t>Ítem/ Comp.</t>
  </si>
  <si>
    <t>PODA ARVORE - LIMPEZA DE GALHOS SECOS INCLUINDO REMOÇÃO DE ENTULHO</t>
  </si>
  <si>
    <t>JARDINEIRO COM ENCARGOS COMPLEMENTARES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</si>
  <si>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</si>
  <si>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88266</t>
  </si>
  <si>
    <t>ELETROTÉCNICO COM ENCARGOS COMPLEMENTARES</t>
  </si>
  <si>
    <t>CAIXA EXTERNA DE MEDICAO PARA 1 MEDIDOR TRIFASICO, COM VISOR, EM CHAPA DE ACO 18 USG (PADRAO DA CONCESSIONARIA LOCAL)</t>
  </si>
  <si>
    <t>DISJUNTOR TIPO DIN/IEC, TRIPOLAR DE 10 ATE 50A</t>
  </si>
  <si>
    <t>1620</t>
  </si>
  <si>
    <t>CONTATOR TRIPOLAR, CORRENTE ATÉ *50* A, TENSAO NOMINAL DE *500* V, CATEGORIA AC-2 E AC-3</t>
  </si>
  <si>
    <t>QUADRO DE DISTRIBUICAO DE ENERGIA DE SOBREPOR, EM CHAPA METÁLICA, PRÉ- FABRICADA, COMPOSTO DE DISJUNTOR GERAL E EQUIPAMENTOS DE COMANDO, CONFORME DIAGRAMA ELÉTRICO - FORNECIMENTO E INSTALAÇÃO.</t>
  </si>
  <si>
    <t>CONTATOR TRIPOLAR I NOMINAL 36A - FORNECIMENTO E INSTALACAO INCLUSIVE ELETROTÉCNICO</t>
  </si>
  <si>
    <t>COMÉRCIO</t>
  </si>
  <si>
    <t>QUADRO 50-40-25 CE 901129 CEMAR</t>
  </si>
  <si>
    <t>CISER PARAF LATAO SX RI 1/4 X 1/2"</t>
  </si>
  <si>
    <t>ARRUELA PRESSAO 1/4" ZB 938607</t>
  </si>
  <si>
    <t>CISER ARRUELA LISA LATAO 1/4"</t>
  </si>
  <si>
    <t>CISER PORCA LATAO SX 1/4"</t>
  </si>
  <si>
    <t xml:space="preserve">TRILHO DIN PARA FIXAÇÃO DE EQUIPAMENTOS </t>
  </si>
  <si>
    <t>DISJUNTOR TRIPOLAR TIPO DIN, CORRENTE NOMINAL DE 40A - FORNECIMENTO E INSTALAÇÃO. AF_04/2016</t>
  </si>
  <si>
    <t>CISER ARRUELA PRESSAO ZB 3/8"</t>
  </si>
  <si>
    <t>PLACA DE ACRILICO 1000X2000X4MM LISA TRANSPARENTE</t>
  </si>
  <si>
    <t>M²</t>
  </si>
  <si>
    <t>ISOLADOR EPOXI 1/4 30X30 CEBEL</t>
  </si>
  <si>
    <t>DISPOSITIVO DE PROTEÇÃO CONTRA DESCARGAS ATMOSFÉRICA-DPS 175V-30KA</t>
  </si>
  <si>
    <t>68069</t>
  </si>
  <si>
    <t>3380</t>
  </si>
  <si>
    <t>HASTE DE ATERRAMENTO EM ACO COM 3,00 M DE COMPRIMENTO E DN = 5/8", REVESTIDA COM BAIXA CAMADA DE COBRE, COM CONECTOR TIPO GRAMPO</t>
  </si>
  <si>
    <t>CABO DE COBRE FLEXÍVEL ISOLADO, 10 MM², ANTI-CHAMA 0,6/1,0 KV, PARA CIRCUITOS TERMINAIS - FORNECIMENTO E INSTALAÇÃO. AF_12/2015</t>
  </si>
  <si>
    <t>1020</t>
  </si>
  <si>
    <t>CABO DE COBRE ISOLAMENTO ANTI-CHAMA 0,6/1KV 10MM2 (1 CONDUTOR) TP SINTENAX   PIRELLI OU EQUIV</t>
  </si>
  <si>
    <t>83446</t>
  </si>
  <si>
    <t>CAIXA DE PASSAGEM 30X30X40 COM TAMPA E DRENO BRITA</t>
  </si>
  <si>
    <t>PEDREIRO COM ENCARGOS COMPLEMENTARES</t>
  </si>
  <si>
    <t>CAIXA INSPECAO, CONCRETO PRE MOLDADO, CIRCULAR, COM TAMPA, D = 40* CM</t>
  </si>
  <si>
    <t xml:space="preserve">COTAÇÃO </t>
  </si>
  <si>
    <t>39246 -   COMP</t>
  </si>
  <si>
    <t>COMERCIO</t>
  </si>
  <si>
    <t>MOVT</t>
  </si>
  <si>
    <t>93358</t>
  </si>
  <si>
    <t>ESCAVAÇÃO MANUAL DE VALAS. AF_03/2016</t>
  </si>
  <si>
    <t>94319</t>
  </si>
  <si>
    <t>ATERRO MANUAL DE VALAS COM REAPROVEITAMENTO DE SOLO ARGILO-ARENOSO COM COMPACTAÇÃO MANUAL. AF_05/2016</t>
  </si>
  <si>
    <t>CAIXA EXTERNA DE MEDICAO PARA 1 MEDIDOR TRIFASICO, COM VISOR, EM CHAPA DE ACO 18 USG (PADRAO DA CONCESSIONARIA LOCAL) - FORNECIMENTO E INSTALACAO</t>
  </si>
  <si>
    <t>1mês</t>
  </si>
  <si>
    <t>2mês</t>
  </si>
  <si>
    <t>3mês</t>
  </si>
  <si>
    <t>4mês</t>
  </si>
  <si>
    <t>88296</t>
  </si>
  <si>
    <t>OPERADOR DE GUINDASTE COM ENCARGOS COMPLEMENTARES</t>
  </si>
  <si>
    <t>POSTE DE ACO TELECONICO CONTINUO CURVO DUPLO COM ALTURA DE MONTAGEM, ENGASTADO, COM JANELA DE INSPECAO H=9M - FORNECIMENTO E INSTALACAO</t>
  </si>
  <si>
    <t>BASE DE PREÇOS:  SINAPI-06/2020</t>
  </si>
  <si>
    <t>CANT</t>
  </si>
  <si>
    <t>74209/001</t>
  </si>
  <si>
    <t>PLACA DE OBRA EM CHAPA DE ACO GALVANIZADO</t>
  </si>
  <si>
    <t>M2</t>
  </si>
  <si>
    <t>CARPINTEIRO DE FORMAS COM ENCARGOS COMPLEMENTARES</t>
  </si>
  <si>
    <t>94962</t>
  </si>
  <si>
    <t>CONCRETO MAGRO PARA LASTRO, TRAÇO 1:4,5:4,5 (CIMENTO/ AREIA MÉDIA/ BRITA 1)  - PREPARO MECÂNICO COM BETONEIRA 400 L. AF_07/2016</t>
  </si>
  <si>
    <t>4417</t>
  </si>
  <si>
    <t>SARRAFO DE MADEIRA NAO APARELHADA *2,5 X 7* CM, MACARANDUBA, ANGELIM OU EQUIVALENTE DA REGIAO</t>
  </si>
  <si>
    <t>4491</t>
  </si>
  <si>
    <t>PECA DE MADEIRA NATIVA / REGIONAL 7,5 X 7,5CM (3X3) NAO APARELHADA (P/FORMA)</t>
  </si>
  <si>
    <t>4813</t>
  </si>
  <si>
    <t>PLACA DE OBRA (PARA CONSTRUCAO CIVIL) EM CHAPA GALVANIZADA *N. 22*, DE *2,0 X 1,125* M</t>
  </si>
  <si>
    <t>5075</t>
  </si>
  <si>
    <t>PREGO DE ACO POLIDO COM CABECA 18 X 30 (2 3/4 X 10)</t>
  </si>
  <si>
    <t>KG</t>
  </si>
  <si>
    <t>CABO DE COBRE FLEXÍVEL ISOLADO, 4 MM², ANTI-CHAMA 0,6/1,0 KV, PARA CIRCUITOS TERMINAIS - FORNECIMENTO E INSTALAÇÃO. AF_12/2015</t>
  </si>
  <si>
    <t>CABO DE COBRE, FLEXIVEL, CLASSE 4 OU 5, ISOLACAO EM PVC/A, ANTICHAMA BWF-B, COBERTURA PVC-ST1, ANTICHAMA BWF-B, 1 CONDUTOR, 0,6/1 KV, SECAO NOMINAL 4 MM2</t>
  </si>
  <si>
    <t>CABO DE COBRE FLEXÍVEL ISOLADO, 6 MM², ANTI-CHAMA 0,6/1,0 KV, PARA CIRCUITOS TERMINAIS - FORNECIMENTO E INSTALAÇÃO. AF_12/2015</t>
  </si>
  <si>
    <t>CABO DE COBRE, FLEXIVEL, CLASSE 4 OU 5, ISOLACAO EM PVC/A, ANTICHAMA BWF-B, COBERTURA PVC-ST1, ANTICHAMA BWF-B, 1 CONDUTOR, 0,6/1 KV, SECAO NOMINAL 6 MM2</t>
  </si>
  <si>
    <t xml:space="preserve">DISJUNTOR TRIPOLAR TIPO DIN, CORRENTE NOMINAL DE 40A - FORNECIMENTO E INSTALAÇÃO. </t>
  </si>
  <si>
    <t>TERMINAL A COMPRESSAO EM COBRE ESTANHADO PARA CABO 10 MM2, 1 FURO E 1 COMPRESSAO, PARA PARAFUSO DE FIXACAO M6</t>
  </si>
  <si>
    <t>DISJUNTOR TIPO DIN/IEC, TRIPOLAR DE 40A</t>
  </si>
  <si>
    <t>INHI</t>
  </si>
  <si>
    <t>CURVA 90 GRAUS, PVC, ROSCÁVEL, DN 40MM (11/4") - FORNECIMENTO E INSTALAÇÃO.</t>
  </si>
  <si>
    <t>CURVA 90 GRAUS, LONGA, DE PVC RIGIDO ROSCAVEL, DE 1 1/4", PARA ELETRODUTO</t>
  </si>
  <si>
    <t>COMPOSIÇÃO 14</t>
  </si>
  <si>
    <t>LUVA PARA ELETRODUTO, PVC, ROSCÁVEL, DN 40 MM (1 1/4") - FORNECIMENTO E INSTALAÇÃO.</t>
  </si>
  <si>
    <t>88248</t>
  </si>
  <si>
    <t>AUXILIAR DE ENCANADOR OU BOMBEIRO HIDRÁULICO COM ENCARGOS COMPLEMENTARES</t>
  </si>
  <si>
    <t>88267</t>
  </si>
  <si>
    <t>ENCANADOR OU BOMBEIRO HIDRÁULICO COM ENCARGOS COMPLEMENTARES</t>
  </si>
  <si>
    <t>LUVA EM PVC RIGIDO ROSCAVEL, DE 1 1/4", PARA ELETRODUTO</t>
  </si>
  <si>
    <t>COMPOSIÇÃO REFERENCIA: PRÓPRIA</t>
  </si>
  <si>
    <t>TUBO DE AÇO GALVANIZADO COM COSTURA, CLASSE MÉDIA, DN 32 (1 1/4"), CONEXÃO ROSQUEADA, INSTALADO EM REDE DE ALIMENTAÇÃO PARA HIDRANTE - FORNECIMENTO E INSTALAÇÃO. AF_12/2015</t>
  </si>
  <si>
    <t>TUBO ACO GALV C/ COSTURA DIN 2440/NBR 5580 CLASSE MEDIA DN 1.1/4" (32MM) E=3,25MM - 3,14KG/M</t>
  </si>
  <si>
    <t>FUES</t>
  </si>
  <si>
    <t xml:space="preserve">CONCRETO FCK = 15MPA, TRAÇO 1:3,4:3,5 (CIMENTO/ AREIA MÉDIA/ BRITA 1) - PREPARO MANUAL. AF_07/2016 (PARA ENVELOPAMENTO DE DUTOS EM  TRAVESSIAS  COM OU SEM PAVIMENTAÇÃO) </t>
  </si>
  <si>
    <t>AREIA MEDIA - POSTO JAZIDA/FORNECEDOR (RETIRADO NA JAZIDA, SEM TRANSPORTE)</t>
  </si>
  <si>
    <t>1379</t>
  </si>
  <si>
    <t>CIMENTO PORTLAND COMPOSTO CP II-32</t>
  </si>
  <si>
    <t>4721</t>
  </si>
  <si>
    <t>PEDRA BRITADA N. 1 (9,5 a 19 MM) POSTO PEDREIRA/FORNECEDOR, SEM FRETE</t>
  </si>
  <si>
    <t>SEDI</t>
  </si>
  <si>
    <t>ENGENHEIRO ELETRICISTA COM ENCARGOS COMPLEMENTARES</t>
  </si>
  <si>
    <t>88237</t>
  </si>
  <si>
    <t>EPI (ENCARGOS COMPLEMENTARES) - HORISTA</t>
  </si>
  <si>
    <t>95407</t>
  </si>
  <si>
    <t>CURSO DE CAPACITAÇÃO (ENGENHEIRO ELETRICISTA) - HORISTA</t>
  </si>
  <si>
    <t>34783</t>
  </si>
  <si>
    <t>FERRAMENTAS - FAMILIA ENGENHEIRO CIVIL - HORISTA</t>
  </si>
  <si>
    <t>ENGENHEIRO ELETRICISTA</t>
  </si>
  <si>
    <t>37372</t>
  </si>
  <si>
    <t>EXAMES - HORISTA (ENCARGOS COMPLEMENTARES) (COLETADO CAIXA)</t>
  </si>
  <si>
    <t>37373</t>
  </si>
  <si>
    <t>SEGURO - HORISTA (ENCARGOS COMPLEMENTARES) (COLETADO CAIXA)</t>
  </si>
  <si>
    <t>1.2</t>
  </si>
  <si>
    <t>1.3</t>
  </si>
  <si>
    <t>LUMINARIA DE LED PARA ILUMINACAO PÚBLICA, TENSÃO DE ENTRADA D 90 A 305V - 50 A 60HZ, POTÊNCIA DE 150W, FLUXO LUMINOSO MÍNIMO 18.000 LUMENS, EFICIÊNCIA MÍNIMA DE 120 LM/W, TEMPERATURA DE COR: 5000K(4.746 +/- 275), IRC MÍNIMO 70, LENTES EM POLICARBONATO, RESISTÊNCIA Á IMPACTOS MECÂNICOS COM GRAU MÍNIMO DE PROTEÇÃO IK 08, FATOR DE POTÊNCIA MÍNIMO &gt;=0,98, DISTORCÇÃO HARMÔNICA TORAL(THD) MENOR QUE 10%, PROTETOR DE SURTO10 KV/10KA, INCORPORADO, CORPO EM ALUMÍNIO INJETADO E/OU ESTRUTURADO NA COR CINZA, GRAU DE PROTEÇÃO IP66 NA ÓTICA E DRIVER, COM SUPORTE DE FIXAÇÃO EM BRAÇOS DE 48MM Á 65MM, COMPOSTA DE BASE PARA INSTALAÇÃO DE RELÉ FOTOELÉTRICO, COM SUPORTE PARA TELEGESTÃO COM TOMADAS DE 7 PINOS E DRIVER DIMERIZÁVEL PROTOCOLO 1~10, VIDA ÚTIL MÍNIMA DO CONJUNTO DE 50.000 HORAS, EM CONFORMIDADE COM AS NORMAS ABNT NBR 5101(ILUMINAÇÃO PÚBLICA / ABNT NBR 5123(RELÉS FOTOELÉTRICOS), ABNT NBR15129, NBR 60598-1, NBR 16026, NBR 60529, IEC 62262:2002, IES LM- 80-08 E IESTM 21-11.  APRESENTAÇÃO CERTIFICADO GARANTIA DE FÁBRICA. TESTES DE ENSAIO DE LABOTATÓRIOS ACREDITADOS PELO INMETRO, TRÓPICO, LPL Ares II MINI DA ILUMATIC  OU EQUIVALENTE - FORNECIMENTO E INSTALAÇÃO</t>
  </si>
  <si>
    <t>GUINDAUTO HIDRÁULICO, CAPACIDADE MÁXIMA DE CARGA 6500 KG, MOMENTO MÁXIMO DE CARGA 5,8 TM, ALCANCE MÁXIMO HORIZONTAL 7,60 M, INCLUSIVE CAMINHÃO TOCO PBT 9.700 KG, POTÊNCIA DE 160 CV - CHP DIURNO. AF_08/2015</t>
  </si>
  <si>
    <t>HASTE DE ATERRAMENTO 5/8  PARA SPDA - FORNECIMENTO E INSTALAÇÃO. AF_12/2017</t>
  </si>
  <si>
    <t>ELETRODUTO FLEXÍVEL CORRUGADO, PVC, DN 40 MM (11/4"), PARA CIRCUITOS TERMINAIS, INSTALADO EM SOLO - FORNECIMENTO E INSTALAÇÃO.</t>
  </si>
  <si>
    <t>GUINDAUTO HIDRÁULICO, CAPACIDADE MÁXIMA DE CARGA 3300 KG, MOMENTO MÁXIMO DE CARGA 5,8 TM, ALCANCE MÁXIMO HORIZONTAL 7,60 M, INCLUSIVE CAMINHÃO TOCO PBT 16.000 KG, POTÊNCIA DE 189 CV - CHP DIURNO. AF_03/2016</t>
  </si>
  <si>
    <t xml:space="preserve">INSTALAÇÃO DE POSTES E LUMINÁRIAS  E ACESSÓRIOS DE LED 150W EM POSTES DA REDE DE ILUMINAÇÃO PÚBLICA - AV PEDRO BALDUINO </t>
  </si>
  <si>
    <t>CIDADE : MUNICÍPIO SEDE DE CORGUINHO - MS</t>
  </si>
  <si>
    <t>LOCAL: AV PEDRO BALDUINO</t>
  </si>
  <si>
    <t>SERVIÇO EM TERRA</t>
  </si>
  <si>
    <r>
      <t xml:space="preserve">VERIFICAÇÃO DO BDI - ACÓRDÃO 2.622/2013      </t>
    </r>
    <r>
      <rPr>
        <b/>
        <sz val="10"/>
        <rFont val="Century Gothic"/>
        <family val="2"/>
      </rPr>
      <t xml:space="preserve"> Rev 02</t>
    </r>
  </si>
  <si>
    <t>DADOS INICIAIS</t>
  </si>
  <si>
    <t>TIPO DE OBRA:</t>
  </si>
  <si>
    <t>ENQUADRAMENTO NA DESONERAÇÃO CONFORME LEI N° 12.844/2013:*</t>
  </si>
  <si>
    <t>NÃO</t>
  </si>
  <si>
    <t>*Uso de encargos sociais desonerados na elaboração do orçamento</t>
  </si>
  <si>
    <t>ENQUADRAM-SE NO TIPO SELECIONADO:</t>
  </si>
  <si>
    <t>CÁLCULO DOS IMPOSTOS</t>
  </si>
  <si>
    <t xml:space="preserve">TRIBUTOS (impostos COFINS 3%, e PIS 0,65%) </t>
  </si>
  <si>
    <t>ISS BRUTO % (LEI MUNICIPAL):</t>
  </si>
  <si>
    <t>% INCIDÊNCIA (M.OBRA)*</t>
  </si>
  <si>
    <t>ISS LÍQUIDO</t>
  </si>
  <si>
    <t>TOTAL IMPOSTOS</t>
  </si>
  <si>
    <t>*Incidência do total do contrato que representa mão de obra para compor a base de cálculo conf. legislação municipal.</t>
  </si>
  <si>
    <t>VERFICAÇÃO E CÁLCULO DO BDI</t>
  </si>
  <si>
    <t>ITEM COMPONENTE</t>
  </si>
  <si>
    <t>1º QUARTIL</t>
  </si>
  <si>
    <t>MÉDIO</t>
  </si>
  <si>
    <t>3º QUARTIL</t>
  </si>
  <si>
    <t>Adotado</t>
  </si>
  <si>
    <t>Cálculo arredondado</t>
  </si>
  <si>
    <t>Seguro e Garantia</t>
  </si>
  <si>
    <t>Risco</t>
  </si>
  <si>
    <t>Impostos</t>
  </si>
  <si>
    <t>BDI CALCULADO</t>
  </si>
  <si>
    <t>LIMITES DO BDI</t>
  </si>
  <si>
    <t>CORREÇÃO DA DESONERAÇÃO</t>
  </si>
  <si>
    <t>BDI CALCULADO C/ DESONERAÇÃO:</t>
  </si>
  <si>
    <t>Contribuição Previdenciária sobre a Receita Bruta (CPRB)</t>
  </si>
  <si>
    <t>BANCO DE DADOS</t>
  </si>
  <si>
    <t>TIPO DE OBRA</t>
  </si>
  <si>
    <t>CÓDIGO</t>
  </si>
  <si>
    <t>ENQUARAMENTO</t>
  </si>
  <si>
    <t>Construção de edificios</t>
  </si>
  <si>
    <t>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</si>
  <si>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Construção de rodovias e ferrovias</t>
  </si>
  <si>
    <t>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</si>
  <si>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>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</si>
  <si>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>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</si>
  <si>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>Portuárias, Marítimas e Fluviais</t>
  </si>
  <si>
    <t xml:space="preserve">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</si>
  <si>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 xml:space="preserve">O fornecimento de materiais e equipamentos relevantes de natureza específica, como é o caso de: materiais betuminosos para obras rodoviárias,tubos de ferro fundido ou PVC para obras de abastecimento de água,elevadores e escadas rolantes para obras aeroportuárias.
Os materiais e equipamentos devem compor itens próprios na planilha orçamentária, apartados de sua instalação, assentamento ou produção, p. ex., conjunto motor-bomba, tubulação de ferro fundido e material betuminoso, respectivamente.
A adoção de taxa de BDI reduzida somente se justifica no caso de ficarem satisfeitas cumulativamente as seguintes condições: fornecimento de materiais e equipamentos que possam ser contratados diretamente do fabricante ou de fornecedor com especialidade própria e diversa da contratada principal;que se constitua mera intermediação entre a construtora e o fabricante; que a intermediação para fornecimento de equipamentos seja atividade residual da construtora.
</t>
  </si>
  <si>
    <t>PIS</t>
  </si>
  <si>
    <t>CONFINS</t>
  </si>
  <si>
    <t>BASE DE CÁLCULO</t>
  </si>
  <si>
    <t>LUCRO PRESUMIDO</t>
  </si>
  <si>
    <t>RECEITA BRUTA (VALOR DA NOTA)</t>
  </si>
  <si>
    <t>VALOR DA NOTA - RECUPERAÇÃO DE CRÉDITO (AQUISIÇÃO DE INSUMOS)</t>
  </si>
  <si>
    <t>Código da pesquisa</t>
  </si>
  <si>
    <t>1º Quartil</t>
  </si>
  <si>
    <t>Médio</t>
  </si>
  <si>
    <t>3º Quartil</t>
  </si>
  <si>
    <t>1 Quartil</t>
  </si>
  <si>
    <t>3 Quartil</t>
  </si>
  <si>
    <t>Data: 18 de Agosto de 2020</t>
  </si>
  <si>
    <t>74157/004</t>
  </si>
  <si>
    <t>LANCAMENTO/APLICACAO MANUAL DE CONCRETO EM FUNDACOES</t>
  </si>
  <si>
    <t>88309</t>
  </si>
  <si>
    <t>90586</t>
  </si>
  <si>
    <t>VIBRADOR DE IMERSÃO, DIÂMETRO DE PONTEIRA 45MM, MOTOR ELÉTRICO TRIFÁSICO POTÊNCIA DE 2 CV - CHP DIURNO. AF_06/2015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</si>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</sst>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(* #,##0.00_);_(* \(#,##0.00\);_(* &quot;-&quot;??_);_(@_)"/>
    <numFmt numFmtId="165" formatCode="[$-416]General"/>
    <numFmt numFmtId="166" formatCode="#,##0.00&quot; &quot;;&quot; (&quot;#,##0.00&quot;)&quot;;&quot; -&quot;#&quot; &quot;;&quot; &quot;@&quot; &quot;"/>
    <numFmt numFmtId="167" formatCode="_-* #,##0.00_-;\-* #,##0.00_-;_-* &quot;-&quot;?????_-;_-@_-"/>
    <numFmt numFmtId="168" formatCode="_-* #,##0.00000_-;\-* #,##0.00000_-;_-* &quot;-&quot;??_-;_-@_-"/>
    <numFmt numFmtId="169" formatCode="0.000"/>
    <numFmt numFmtId="170" formatCode="&quot;R$&quot;#,##0.00"/>
    <numFmt numFmtId="171" formatCode="0.0000"/>
    <numFmt numFmtId="172" formatCode="0.00000"/>
    <numFmt numFmtId="173" formatCode="_-* #,##0.00000_-;\-* #,##0.00000_-;_-* &quot;-&quot;?????_-;_-@_-"/>
    <numFmt numFmtId="174" formatCode="#,##0.00_ ;\-#,##0.00\ "/>
    <numFmt numFmtId="175" formatCode="0.000%"/>
    <numFmt numFmtId="176" formatCode="0.0%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1"/>
    </font>
    <font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0"/>
      <color indexed="12"/>
      <name val="Century Gothic"/>
      <family val="2"/>
    </font>
    <font>
      <b/>
      <sz val="10"/>
      <color indexed="10"/>
      <name val="Century Gothic"/>
      <family val="2"/>
    </font>
    <font>
      <sz val="9"/>
      <name val="Century Gothic"/>
      <family val="2"/>
    </font>
    <font>
      <sz val="10"/>
      <color indexed="10"/>
      <name val="Century Gothic"/>
      <family val="2"/>
    </font>
    <font>
      <b/>
      <sz val="12"/>
      <color indexed="10"/>
      <name val="Century Gothic"/>
      <family val="2"/>
    </font>
    <font>
      <b/>
      <sz val="11"/>
      <name val="Century Gothic"/>
      <family val="2"/>
    </font>
    <font>
      <b/>
      <sz val="16"/>
      <color indexed="10"/>
      <name val="Century Gothic"/>
      <family val="2"/>
    </font>
    <font>
      <b/>
      <sz val="14"/>
      <color indexed="10"/>
      <name val="Century Gothic"/>
      <family val="2"/>
    </font>
    <font>
      <b/>
      <sz val="10"/>
      <color indexed="62"/>
      <name val="Century Gothic"/>
      <family val="2"/>
    </font>
    <font>
      <sz val="10"/>
      <color indexed="62"/>
      <name val="Century Gothic"/>
      <family val="2"/>
    </font>
    <font>
      <sz val="11"/>
      <name val="Century Gothic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123">
    <xf numFmtId="0" fontId="0" fillId="0" borderId="0"/>
    <xf numFmtId="166" fontId="6" fillId="0" borderId="0" applyBorder="0" applyProtection="0"/>
    <xf numFmtId="165" fontId="6" fillId="0" borderId="0" applyBorder="0" applyProtection="0"/>
    <xf numFmtId="0" fontId="5" fillId="0" borderId="0"/>
    <xf numFmtId="0" fontId="7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4" fillId="22" borderId="0" applyNumberFormat="0" applyBorder="0" applyAlignment="0" applyProtection="0"/>
    <xf numFmtId="0" fontId="4" fillId="8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4" borderId="0" applyNumberFormat="0" applyBorder="0" applyAlignment="0" applyProtection="0"/>
    <xf numFmtId="0" fontId="4" fillId="17" borderId="0" applyNumberFormat="0" applyBorder="0" applyAlignment="0" applyProtection="0"/>
    <xf numFmtId="0" fontId="4" fillId="2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22" fillId="25" borderId="0" applyNumberFormat="0" applyBorder="0" applyAlignment="0" applyProtection="0"/>
    <xf numFmtId="0" fontId="22" fillId="3" borderId="0" applyNumberFormat="0" applyBorder="0" applyAlignment="0" applyProtection="0"/>
    <xf numFmtId="0" fontId="22" fillId="24" borderId="0" applyNumberFormat="0" applyBorder="0" applyAlignment="0" applyProtection="0"/>
    <xf numFmtId="0" fontId="22" fillId="26" borderId="0" applyNumberFormat="0" applyBorder="0" applyAlignment="0" applyProtection="0"/>
    <xf numFmtId="0" fontId="22" fillId="15" borderId="0" applyNumberFormat="0" applyBorder="0" applyAlignment="0" applyProtection="0"/>
    <xf numFmtId="0" fontId="22" fillId="27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28" borderId="0" applyNumberFormat="0" applyBorder="0" applyAlignment="0" applyProtection="0"/>
    <xf numFmtId="0" fontId="22" fillId="16" borderId="0" applyNumberFormat="0" applyBorder="0" applyAlignment="0" applyProtection="0"/>
    <xf numFmtId="0" fontId="22" fillId="29" borderId="0" applyNumberFormat="0" applyBorder="0" applyAlignment="0" applyProtection="0"/>
    <xf numFmtId="0" fontId="22" fillId="26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13" fillId="8" borderId="0" applyNumberFormat="0" applyBorder="0" applyAlignment="0" applyProtection="0"/>
    <xf numFmtId="0" fontId="12" fillId="6" borderId="0" applyNumberFormat="0" applyBorder="0" applyAlignment="0" applyProtection="0"/>
    <xf numFmtId="0" fontId="24" fillId="30" borderId="1" applyNumberFormat="0" applyAlignment="0" applyProtection="0"/>
    <xf numFmtId="0" fontId="17" fillId="11" borderId="1" applyNumberFormat="0" applyAlignment="0" applyProtection="0"/>
    <xf numFmtId="0" fontId="19" fillId="12" borderId="2" applyNumberFormat="0" applyAlignment="0" applyProtection="0"/>
    <xf numFmtId="0" fontId="18" fillId="0" borderId="3" applyNumberFormat="0" applyFill="0" applyAlignment="0" applyProtection="0"/>
    <xf numFmtId="0" fontId="19" fillId="12" borderId="2" applyNumberFormat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5" fillId="7" borderId="1" applyNumberFormat="0" applyAlignment="0" applyProtection="0"/>
    <xf numFmtId="0" fontId="20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5" fillId="5" borderId="1" applyNumberFormat="0" applyAlignment="0" applyProtection="0"/>
    <xf numFmtId="0" fontId="28" fillId="0" borderId="17" applyNumberFormat="0" applyFill="0" applyAlignment="0" applyProtection="0"/>
    <xf numFmtId="0" fontId="14" fillId="7" borderId="0" applyNumberFormat="0" applyBorder="0" applyAlignment="0" applyProtection="0"/>
    <xf numFmtId="0" fontId="29" fillId="7" borderId="0" applyNumberFormat="0" applyBorder="0" applyAlignment="0" applyProtection="0"/>
    <xf numFmtId="0" fontId="5" fillId="4" borderId="4" applyNumberFormat="0" applyFont="0" applyAlignment="0" applyProtection="0"/>
    <xf numFmtId="0" fontId="4" fillId="4" borderId="4" applyNumberFormat="0" applyFont="0" applyAlignment="0" applyProtection="0"/>
    <xf numFmtId="0" fontId="16" fillId="30" borderId="5" applyNumberFormat="0" applyAlignment="0" applyProtection="0"/>
    <xf numFmtId="0" fontId="16" fillId="11" borderId="5" applyNumberFormat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5" fillId="4" borderId="4" applyNumberFormat="0" applyFont="0" applyAlignment="0" applyProtection="0"/>
    <xf numFmtId="0" fontId="5" fillId="0" borderId="0"/>
    <xf numFmtId="0" fontId="5" fillId="4" borderId="4" applyNumberFormat="0" applyFont="0" applyAlignment="0" applyProtection="0"/>
    <xf numFmtId="0" fontId="5" fillId="0" borderId="0"/>
    <xf numFmtId="0" fontId="5" fillId="4" borderId="4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30" borderId="44" applyNumberFormat="0" applyAlignment="0" applyProtection="0"/>
    <xf numFmtId="0" fontId="17" fillId="11" borderId="44" applyNumberFormat="0" applyAlignment="0" applyProtection="0"/>
    <xf numFmtId="0" fontId="15" fillId="7" borderId="44" applyNumberFormat="0" applyAlignment="0" applyProtection="0"/>
    <xf numFmtId="0" fontId="15" fillId="5" borderId="44" applyNumberFormat="0" applyAlignment="0" applyProtection="0"/>
    <xf numFmtId="0" fontId="5" fillId="4" borderId="45" applyNumberFormat="0" applyFont="0" applyAlignment="0" applyProtection="0"/>
    <xf numFmtId="0" fontId="4" fillId="4" borderId="45" applyNumberFormat="0" applyFont="0" applyAlignment="0" applyProtection="0"/>
    <xf numFmtId="0" fontId="16" fillId="30" borderId="46" applyNumberFormat="0" applyAlignment="0" applyProtection="0"/>
    <xf numFmtId="0" fontId="16" fillId="11" borderId="46" applyNumberFormat="0" applyAlignment="0" applyProtection="0"/>
    <xf numFmtId="0" fontId="21" fillId="0" borderId="47" applyNumberFormat="0" applyFill="0" applyAlignment="0" applyProtection="0"/>
    <xf numFmtId="0" fontId="5" fillId="4" borderId="45" applyNumberFormat="0" applyFont="0" applyAlignment="0" applyProtection="0"/>
    <xf numFmtId="0" fontId="5" fillId="4" borderId="45" applyNumberFormat="0" applyFont="0" applyAlignment="0" applyProtection="0"/>
    <xf numFmtId="0" fontId="5" fillId="4" borderId="45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7">
    <xf numFmtId="0" fontId="0" fillId="0" borderId="0" xfId="0"/>
    <xf numFmtId="0" fontId="32" fillId="20" borderId="0" xfId="0" applyFont="1" applyFill="1" applyBorder="1"/>
    <xf numFmtId="0" fontId="32" fillId="0" borderId="0" xfId="0" applyFont="1"/>
    <xf numFmtId="4" fontId="32" fillId="18" borderId="0" xfId="0" applyNumberFormat="1" applyFont="1" applyFill="1" applyBorder="1" applyAlignment="1">
      <alignment vertical="center"/>
    </xf>
    <xf numFmtId="4" fontId="32" fillId="18" borderId="0" xfId="0" applyNumberFormat="1" applyFont="1" applyFill="1" applyBorder="1" applyAlignment="1">
      <alignment vertical="center" wrapText="1"/>
    </xf>
    <xf numFmtId="0" fontId="32" fillId="20" borderId="36" xfId="0" applyFont="1" applyFill="1" applyBorder="1"/>
    <xf numFmtId="0" fontId="33" fillId="20" borderId="9" xfId="0" applyFont="1" applyFill="1" applyBorder="1" applyAlignment="1">
      <alignment horizontal="center"/>
    </xf>
    <xf numFmtId="164" fontId="33" fillId="20" borderId="9" xfId="6" applyFont="1" applyFill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33" fillId="0" borderId="50" xfId="0" applyFont="1" applyBorder="1" applyAlignment="1">
      <alignment horizontal="left"/>
    </xf>
    <xf numFmtId="164" fontId="33" fillId="0" borderId="50" xfId="6" applyFont="1" applyBorder="1" applyAlignment="1">
      <alignment horizontal="center"/>
    </xf>
    <xf numFmtId="164" fontId="33" fillId="0" borderId="51" xfId="6" applyFont="1" applyBorder="1" applyAlignment="1">
      <alignment horizontal="center"/>
    </xf>
    <xf numFmtId="0" fontId="33" fillId="0" borderId="26" xfId="0" applyFont="1" applyBorder="1" applyAlignment="1">
      <alignment horizontal="center" vertical="top"/>
    </xf>
    <xf numFmtId="0" fontId="33" fillId="0" borderId="27" xfId="0" applyFont="1" applyBorder="1" applyAlignment="1">
      <alignment horizontal="left" vertical="top"/>
    </xf>
    <xf numFmtId="0" fontId="33" fillId="0" borderId="29" xfId="0" applyFont="1" applyBorder="1" applyAlignment="1">
      <alignment horizontal="center" vertical="top"/>
    </xf>
    <xf numFmtId="0" fontId="33" fillId="0" borderId="30" xfId="0" applyFont="1" applyBorder="1" applyAlignment="1">
      <alignment horizontal="left" vertical="top"/>
    </xf>
    <xf numFmtId="164" fontId="33" fillId="0" borderId="31" xfId="6" applyFont="1" applyBorder="1" applyAlignment="1">
      <alignment vertical="top"/>
    </xf>
    <xf numFmtId="0" fontId="33" fillId="0" borderId="32" xfId="0" applyFont="1" applyBorder="1" applyAlignment="1">
      <alignment horizontal="center" vertical="top"/>
    </xf>
    <xf numFmtId="0" fontId="33" fillId="0" borderId="33" xfId="0" applyFont="1" applyBorder="1" applyAlignment="1">
      <alignment vertical="top"/>
    </xf>
    <xf numFmtId="10" fontId="32" fillId="0" borderId="33" xfId="6" applyNumberFormat="1" applyFont="1" applyBorder="1" applyAlignment="1">
      <alignment horizontal="center" vertical="top"/>
    </xf>
    <xf numFmtId="164" fontId="33" fillId="0" borderId="34" xfId="6" applyFont="1" applyBorder="1" applyAlignment="1">
      <alignment vertical="top"/>
    </xf>
    <xf numFmtId="0" fontId="33" fillId="0" borderId="52" xfId="0" applyFont="1" applyBorder="1" applyAlignment="1">
      <alignment horizontal="center" vertical="top"/>
    </xf>
    <xf numFmtId="0" fontId="33" fillId="0" borderId="53" xfId="0" applyFont="1" applyBorder="1" applyAlignment="1">
      <alignment vertical="top"/>
    </xf>
    <xf numFmtId="0" fontId="33" fillId="18" borderId="26" xfId="0" applyFont="1" applyFill="1" applyBorder="1" applyAlignment="1">
      <alignment horizontal="left" vertical="top"/>
    </xf>
    <xf numFmtId="0" fontId="33" fillId="20" borderId="43" xfId="0" applyFont="1" applyFill="1" applyBorder="1" applyAlignment="1">
      <alignment horizontal="left" vertical="top"/>
    </xf>
    <xf numFmtId="9" fontId="32" fillId="0" borderId="27" xfId="5" applyFont="1" applyBorder="1" applyAlignment="1">
      <alignment horizontal="center" vertical="top"/>
    </xf>
    <xf numFmtId="43" fontId="32" fillId="0" borderId="27" xfId="5" applyNumberFormat="1" applyFont="1" applyBorder="1" applyAlignment="1">
      <alignment horizontal="center" vertical="top"/>
    </xf>
    <xf numFmtId="43" fontId="32" fillId="0" borderId="30" xfId="6" applyNumberFormat="1" applyFont="1" applyBorder="1" applyAlignment="1">
      <alignment vertical="top"/>
    </xf>
    <xf numFmtId="43" fontId="32" fillId="0" borderId="48" xfId="6" applyNumberFormat="1" applyFont="1" applyBorder="1" applyAlignment="1">
      <alignment vertical="top"/>
    </xf>
    <xf numFmtId="10" fontId="32" fillId="0" borderId="30" xfId="5" applyNumberFormat="1" applyFont="1" applyBorder="1" applyAlignment="1">
      <alignment horizontal="center" vertical="top"/>
    </xf>
    <xf numFmtId="43" fontId="32" fillId="0" borderId="34" xfId="0" applyNumberFormat="1" applyFont="1" applyBorder="1" applyAlignment="1">
      <alignment vertical="top"/>
    </xf>
    <xf numFmtId="0" fontId="32" fillId="0" borderId="0" xfId="0" applyFont="1" applyFill="1" applyBorder="1" applyAlignment="1">
      <alignment vertical="top"/>
    </xf>
    <xf numFmtId="4" fontId="32" fillId="20" borderId="19" xfId="4" applyNumberFormat="1" applyFont="1" applyFill="1" applyBorder="1" applyAlignment="1">
      <alignment vertical="center"/>
    </xf>
    <xf numFmtId="4" fontId="32" fillId="20" borderId="0" xfId="4" applyNumberFormat="1" applyFont="1" applyFill="1" applyBorder="1" applyAlignment="1">
      <alignment vertical="center"/>
    </xf>
    <xf numFmtId="0" fontId="32" fillId="20" borderId="19" xfId="0" applyFont="1" applyFill="1" applyBorder="1" applyAlignment="1">
      <alignment horizontal="left" vertical="center"/>
    </xf>
    <xf numFmtId="0" fontId="32" fillId="20" borderId="0" xfId="0" applyFont="1" applyFill="1" applyBorder="1" applyAlignment="1">
      <alignment horizontal="left" vertical="center"/>
    </xf>
    <xf numFmtId="165" fontId="33" fillId="21" borderId="0" xfId="2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top"/>
    </xf>
    <xf numFmtId="0" fontId="33" fillId="0" borderId="25" xfId="0" applyFont="1" applyFill="1" applyBorder="1" applyAlignment="1">
      <alignment horizontal="center" vertical="top"/>
    </xf>
    <xf numFmtId="167" fontId="33" fillId="0" borderId="25" xfId="6" applyNumberFormat="1" applyFont="1" applyFill="1" applyBorder="1" applyAlignment="1">
      <alignment vertical="top"/>
    </xf>
    <xf numFmtId="43" fontId="33" fillId="0" borderId="25" xfId="6" applyNumberFormat="1" applyFont="1" applyFill="1" applyBorder="1" applyAlignment="1">
      <alignment vertical="top"/>
    </xf>
    <xf numFmtId="43" fontId="35" fillId="0" borderId="25" xfId="1" applyNumberFormat="1" applyFont="1" applyFill="1" applyBorder="1" applyAlignment="1" applyProtection="1">
      <alignment vertical="top"/>
    </xf>
    <xf numFmtId="0" fontId="32" fillId="0" borderId="0" xfId="0" applyFont="1" applyFill="1" applyBorder="1" applyAlignment="1">
      <alignment horizontal="center" vertical="top"/>
    </xf>
    <xf numFmtId="0" fontId="33" fillId="33" borderId="55" xfId="0" applyFont="1" applyFill="1" applyBorder="1" applyAlignment="1">
      <alignment vertical="center"/>
    </xf>
    <xf numFmtId="167" fontId="32" fillId="0" borderId="0" xfId="6" applyNumberFormat="1" applyFont="1" applyFill="1" applyBorder="1" applyAlignment="1">
      <alignment horizontal="center" vertical="top"/>
    </xf>
    <xf numFmtId="164" fontId="32" fillId="0" borderId="0" xfId="6" applyFont="1" applyFill="1" applyBorder="1" applyAlignment="1">
      <alignment horizontal="center" vertical="top"/>
    </xf>
    <xf numFmtId="0" fontId="31" fillId="20" borderId="22" xfId="0" applyFont="1" applyFill="1" applyBorder="1" applyAlignment="1">
      <alignment horizontal="left" vertical="center"/>
    </xf>
    <xf numFmtId="4" fontId="33" fillId="34" borderId="55" xfId="0" applyNumberFormat="1" applyFont="1" applyFill="1" applyBorder="1" applyAlignment="1">
      <alignment wrapText="1"/>
    </xf>
    <xf numFmtId="4" fontId="33" fillId="34" borderId="12" xfId="0" applyNumberFormat="1" applyFont="1" applyFill="1" applyBorder="1" applyAlignment="1">
      <alignment wrapText="1"/>
    </xf>
    <xf numFmtId="165" fontId="37" fillId="19" borderId="25" xfId="2" applyFont="1" applyFill="1" applyBorder="1" applyAlignment="1" applyProtection="1">
      <alignment vertical="top"/>
    </xf>
    <xf numFmtId="4" fontId="31" fillId="20" borderId="22" xfId="4" applyNumberFormat="1" applyFont="1" applyFill="1" applyBorder="1" applyAlignment="1">
      <alignment vertical="center"/>
    </xf>
    <xf numFmtId="0" fontId="32" fillId="20" borderId="23" xfId="0" applyFont="1" applyFill="1" applyBorder="1"/>
    <xf numFmtId="4" fontId="32" fillId="18" borderId="23" xfId="0" applyNumberFormat="1" applyFont="1" applyFill="1" applyBorder="1" applyAlignment="1">
      <alignment vertical="center"/>
    </xf>
    <xf numFmtId="4" fontId="32" fillId="18" borderId="22" xfId="0" applyNumberFormat="1" applyFont="1" applyFill="1" applyBorder="1" applyAlignment="1">
      <alignment vertical="center" wrapText="1"/>
    </xf>
    <xf numFmtId="4" fontId="32" fillId="18" borderId="23" xfId="0" applyNumberFormat="1" applyFont="1" applyFill="1" applyBorder="1" applyAlignment="1">
      <alignment vertical="center" wrapText="1"/>
    </xf>
    <xf numFmtId="0" fontId="32" fillId="20" borderId="59" xfId="0" applyFont="1" applyFill="1" applyBorder="1"/>
    <xf numFmtId="0" fontId="32" fillId="20" borderId="60" xfId="0" applyFont="1" applyFill="1" applyBorder="1"/>
    <xf numFmtId="170" fontId="33" fillId="0" borderId="10" xfId="6" applyNumberFormat="1" applyFont="1" applyBorder="1" applyAlignment="1">
      <alignment vertical="top"/>
    </xf>
    <xf numFmtId="170" fontId="33" fillId="0" borderId="28" xfId="6" applyNumberFormat="1" applyFont="1" applyBorder="1" applyAlignment="1">
      <alignment vertical="top"/>
    </xf>
    <xf numFmtId="170" fontId="33" fillId="0" borderId="28" xfId="0" applyNumberFormat="1" applyFont="1" applyBorder="1" applyAlignment="1">
      <alignment horizontal="right" vertical="top"/>
    </xf>
    <xf numFmtId="10" fontId="32" fillId="0" borderId="27" xfId="5" applyNumberFormat="1" applyFont="1" applyBorder="1" applyAlignment="1">
      <alignment horizontal="center" vertical="center"/>
    </xf>
    <xf numFmtId="43" fontId="32" fillId="0" borderId="27" xfId="6" applyNumberFormat="1" applyFont="1" applyBorder="1" applyAlignment="1">
      <alignment vertical="center"/>
    </xf>
    <xf numFmtId="164" fontId="32" fillId="0" borderId="30" xfId="6" applyFont="1" applyBorder="1" applyAlignment="1">
      <alignment horizontal="center" vertical="center"/>
    </xf>
    <xf numFmtId="164" fontId="32" fillId="35" borderId="30" xfId="6" applyFont="1" applyFill="1" applyBorder="1" applyAlignment="1">
      <alignment vertical="center"/>
    </xf>
    <xf numFmtId="164" fontId="32" fillId="0" borderId="33" xfId="6" applyFont="1" applyBorder="1" applyAlignment="1">
      <alignment horizontal="center" vertical="center"/>
    </xf>
    <xf numFmtId="10" fontId="32" fillId="0" borderId="33" xfId="6" applyNumberFormat="1" applyFont="1" applyBorder="1" applyAlignment="1">
      <alignment horizontal="center" vertical="center"/>
    </xf>
    <xf numFmtId="164" fontId="32" fillId="0" borderId="53" xfId="6" applyFont="1" applyBorder="1" applyAlignment="1">
      <alignment horizontal="center" vertical="center"/>
    </xf>
    <xf numFmtId="0" fontId="33" fillId="34" borderId="49" xfId="0" applyFont="1" applyFill="1" applyBorder="1" applyAlignment="1">
      <alignment horizontal="center" vertical="center"/>
    </xf>
    <xf numFmtId="164" fontId="33" fillId="0" borderId="61" xfId="6" applyFont="1" applyBorder="1" applyAlignment="1">
      <alignment horizontal="center"/>
    </xf>
    <xf numFmtId="164" fontId="32" fillId="35" borderId="62" xfId="6" applyFont="1" applyFill="1" applyBorder="1" applyAlignment="1">
      <alignment vertical="center"/>
    </xf>
    <xf numFmtId="4" fontId="32" fillId="20" borderId="20" xfId="4" applyNumberFormat="1" applyFont="1" applyFill="1" applyBorder="1" applyAlignment="1">
      <alignment vertical="center"/>
    </xf>
    <xf numFmtId="10" fontId="33" fillId="19" borderId="20" xfId="5" applyNumberFormat="1" applyFont="1" applyFill="1" applyBorder="1" applyAlignment="1" applyProtection="1">
      <alignment horizontal="center" vertical="top" wrapText="1"/>
    </xf>
    <xf numFmtId="0" fontId="33" fillId="0" borderId="65" xfId="0" applyFont="1" applyFill="1" applyBorder="1" applyAlignment="1">
      <alignment horizontal="center" vertical="top"/>
    </xf>
    <xf numFmtId="0" fontId="33" fillId="33" borderId="64" xfId="0" applyFont="1" applyFill="1" applyBorder="1" applyAlignment="1">
      <alignment horizontal="center" vertical="center"/>
    </xf>
    <xf numFmtId="43" fontId="33" fillId="0" borderId="68" xfId="6" applyNumberFormat="1" applyFont="1" applyFill="1" applyBorder="1" applyAlignment="1">
      <alignment vertical="top"/>
    </xf>
    <xf numFmtId="2" fontId="32" fillId="31" borderId="36" xfId="98" applyNumberFormat="1" applyFont="1" applyFill="1" applyBorder="1" applyAlignment="1">
      <alignment vertical="top"/>
    </xf>
    <xf numFmtId="4" fontId="33" fillId="31" borderId="69" xfId="98" applyNumberFormat="1" applyFont="1" applyFill="1" applyBorder="1" applyAlignment="1">
      <alignment horizontal="right" vertical="top"/>
    </xf>
    <xf numFmtId="4" fontId="33" fillId="34" borderId="54" xfId="0" applyNumberFormat="1" applyFont="1" applyFill="1" applyBorder="1" applyAlignment="1">
      <alignment horizontal="left" vertical="center" wrapText="1"/>
    </xf>
    <xf numFmtId="43" fontId="33" fillId="33" borderId="67" xfId="0" applyNumberFormat="1" applyFont="1" applyFill="1" applyBorder="1" applyAlignment="1">
      <alignment vertical="center"/>
    </xf>
    <xf numFmtId="165" fontId="37" fillId="19" borderId="25" xfId="2" applyFont="1" applyFill="1" applyBorder="1" applyAlignment="1" applyProtection="1">
      <alignment vertical="center"/>
    </xf>
    <xf numFmtId="0" fontId="33" fillId="0" borderId="10" xfId="0" applyFont="1" applyFill="1" applyBorder="1" applyAlignment="1">
      <alignment horizontal="center" vertical="center" wrapText="1"/>
    </xf>
    <xf numFmtId="165" fontId="34" fillId="20" borderId="55" xfId="2" applyFont="1" applyFill="1" applyBorder="1" applyAlignment="1" applyProtection="1">
      <alignment horizontal="center" vertical="center"/>
    </xf>
    <xf numFmtId="165" fontId="35" fillId="0" borderId="0" xfId="2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>
      <alignment horizontal="center" vertical="center"/>
    </xf>
    <xf numFmtId="0" fontId="33" fillId="20" borderId="5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4" fontId="32" fillId="20" borderId="0" xfId="4" applyNumberFormat="1" applyFont="1" applyFill="1" applyBorder="1" applyAlignment="1">
      <alignment horizontal="center" vertical="center"/>
    </xf>
    <xf numFmtId="165" fontId="37" fillId="19" borderId="25" xfId="2" applyFont="1" applyFill="1" applyBorder="1" applyAlignment="1" applyProtection="1">
      <alignment horizontal="center" vertical="center"/>
    </xf>
    <xf numFmtId="0" fontId="33" fillId="31" borderId="36" xfId="98" applyFont="1" applyFill="1" applyBorder="1" applyAlignment="1">
      <alignment horizontal="center" vertical="center" wrapText="1"/>
    </xf>
    <xf numFmtId="165" fontId="35" fillId="0" borderId="0" xfId="2" applyFont="1" applyFill="1" applyBorder="1" applyAlignment="1" applyProtection="1">
      <alignment horizontal="center" vertical="center"/>
    </xf>
    <xf numFmtId="0" fontId="33" fillId="20" borderId="36" xfId="0" applyFont="1" applyFill="1" applyBorder="1" applyAlignment="1">
      <alignment vertical="center"/>
    </xf>
    <xf numFmtId="165" fontId="38" fillId="19" borderId="63" xfId="2" applyFont="1" applyFill="1" applyBorder="1" applyAlignment="1" applyProtection="1">
      <alignment vertical="center"/>
    </xf>
    <xf numFmtId="0" fontId="33" fillId="0" borderId="66" xfId="0" applyFont="1" applyFill="1" applyBorder="1" applyAlignment="1">
      <alignment horizontal="center" vertical="center"/>
    </xf>
    <xf numFmtId="0" fontId="33" fillId="20" borderId="64" xfId="0" applyFont="1" applyFill="1" applyBorder="1" applyAlignment="1">
      <alignment horizontal="center" vertical="center"/>
    </xf>
    <xf numFmtId="165" fontId="35" fillId="0" borderId="19" xfId="2" applyFont="1" applyFill="1" applyBorder="1" applyAlignment="1" applyProtection="1">
      <alignment horizontal="center" vertical="center"/>
    </xf>
    <xf numFmtId="0" fontId="32" fillId="0" borderId="63" xfId="0" applyFont="1" applyFill="1" applyBorder="1" applyAlignment="1">
      <alignment vertical="center"/>
    </xf>
    <xf numFmtId="0" fontId="32" fillId="0" borderId="63" xfId="0" applyFont="1" applyFill="1" applyBorder="1" applyAlignment="1">
      <alignment horizontal="center" vertical="center"/>
    </xf>
    <xf numFmtId="0" fontId="33" fillId="20" borderId="35" xfId="0" applyFont="1" applyFill="1" applyBorder="1" applyAlignment="1">
      <alignment vertical="center"/>
    </xf>
    <xf numFmtId="165" fontId="35" fillId="0" borderId="0" xfId="2" applyFont="1" applyFill="1" applyBorder="1" applyAlignment="1" applyProtection="1">
      <alignment horizontal="left" vertical="center" wrapText="1"/>
    </xf>
    <xf numFmtId="167" fontId="32" fillId="0" borderId="0" xfId="1" applyNumberFormat="1" applyFont="1" applyFill="1" applyBorder="1" applyAlignment="1" applyProtection="1">
      <alignment vertical="center"/>
    </xf>
    <xf numFmtId="43" fontId="35" fillId="0" borderId="0" xfId="2" applyNumberFormat="1" applyFont="1" applyFill="1" applyBorder="1" applyAlignment="1" applyProtection="1">
      <alignment horizontal="right" vertical="center"/>
    </xf>
    <xf numFmtId="43" fontId="32" fillId="0" borderId="20" xfId="6" applyNumberFormat="1" applyFont="1" applyFill="1" applyBorder="1" applyAlignment="1">
      <alignment vertical="center" wrapText="1"/>
    </xf>
    <xf numFmtId="167" fontId="33" fillId="0" borderId="10" xfId="6" applyNumberFormat="1" applyFont="1" applyFill="1" applyBorder="1" applyAlignment="1">
      <alignment horizontal="center" vertical="center"/>
    </xf>
    <xf numFmtId="164" fontId="33" fillId="0" borderId="10" xfId="6" applyFont="1" applyFill="1" applyBorder="1" applyAlignment="1">
      <alignment horizontal="center" vertical="center"/>
    </xf>
    <xf numFmtId="164" fontId="33" fillId="0" borderId="65" xfId="6" applyFont="1" applyFill="1" applyBorder="1" applyAlignment="1">
      <alignment horizontal="center" vertical="center" wrapText="1"/>
    </xf>
    <xf numFmtId="167" fontId="33" fillId="33" borderId="55" xfId="6" applyNumberFormat="1" applyFont="1" applyFill="1" applyBorder="1" applyAlignment="1">
      <alignment vertical="center"/>
    </xf>
    <xf numFmtId="43" fontId="33" fillId="33" borderId="55" xfId="6" applyNumberFormat="1" applyFont="1" applyFill="1" applyBorder="1" applyAlignment="1">
      <alignment vertical="center"/>
    </xf>
    <xf numFmtId="43" fontId="35" fillId="33" borderId="55" xfId="1" applyNumberFormat="1" applyFont="1" applyFill="1" applyBorder="1" applyAlignment="1" applyProtection="1">
      <alignment vertical="center"/>
    </xf>
    <xf numFmtId="43" fontId="33" fillId="33" borderId="67" xfId="6" applyNumberFormat="1" applyFont="1" applyFill="1" applyBorder="1" applyAlignment="1">
      <alignment vertical="center" wrapText="1"/>
    </xf>
    <xf numFmtId="165" fontId="34" fillId="0" borderId="0" xfId="2" applyFont="1" applyFill="1" applyBorder="1" applyAlignment="1" applyProtection="1">
      <alignment horizontal="left" vertical="center" wrapText="1"/>
    </xf>
    <xf numFmtId="167" fontId="33" fillId="20" borderId="55" xfId="6" applyNumberFormat="1" applyFont="1" applyFill="1" applyBorder="1" applyAlignment="1">
      <alignment horizontal="center" vertical="center"/>
    </xf>
    <xf numFmtId="164" fontId="33" fillId="20" borderId="55" xfId="6" applyFont="1" applyFill="1" applyBorder="1" applyAlignment="1">
      <alignment horizontal="center" vertical="center"/>
    </xf>
    <xf numFmtId="164" fontId="33" fillId="20" borderId="67" xfId="6" applyFont="1" applyFill="1" applyBorder="1" applyAlignment="1">
      <alignment horizontal="center" vertical="center"/>
    </xf>
    <xf numFmtId="165" fontId="35" fillId="0" borderId="56" xfId="2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center" vertical="center"/>
    </xf>
    <xf numFmtId="167" fontId="33" fillId="0" borderId="25" xfId="6" applyNumberFormat="1" applyFont="1" applyFill="1" applyBorder="1" applyAlignment="1">
      <alignment vertical="center"/>
    </xf>
    <xf numFmtId="43" fontId="33" fillId="0" borderId="25" xfId="6" applyNumberFormat="1" applyFont="1" applyFill="1" applyBorder="1" applyAlignment="1">
      <alignment vertical="center"/>
    </xf>
    <xf numFmtId="43" fontId="33" fillId="0" borderId="68" xfId="6" applyNumberFormat="1" applyFont="1" applyFill="1" applyBorder="1" applyAlignment="1">
      <alignment vertical="center"/>
    </xf>
    <xf numFmtId="165" fontId="34" fillId="0" borderId="55" xfId="2" applyFont="1" applyFill="1" applyBorder="1" applyAlignment="1" applyProtection="1">
      <alignment horizontal="left" vertical="center" wrapText="1"/>
    </xf>
    <xf numFmtId="167" fontId="33" fillId="20" borderId="55" xfId="0" applyNumberFormat="1" applyFont="1" applyFill="1" applyBorder="1" applyAlignment="1">
      <alignment vertical="center"/>
    </xf>
    <xf numFmtId="43" fontId="33" fillId="20" borderId="55" xfId="0" applyNumberFormat="1" applyFont="1" applyFill="1" applyBorder="1" applyAlignment="1">
      <alignment vertical="center"/>
    </xf>
    <xf numFmtId="43" fontId="33" fillId="20" borderId="67" xfId="0" applyNumberFormat="1" applyFont="1" applyFill="1" applyBorder="1" applyAlignment="1">
      <alignment vertical="center"/>
    </xf>
    <xf numFmtId="43" fontId="35" fillId="0" borderId="25" xfId="1" applyNumberFormat="1" applyFont="1" applyFill="1" applyBorder="1" applyAlignment="1" applyProtection="1">
      <alignment vertical="center"/>
    </xf>
    <xf numFmtId="43" fontId="32" fillId="0" borderId="0" xfId="6" applyNumberFormat="1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4" fontId="39" fillId="20" borderId="19" xfId="104" applyNumberFormat="1" applyFont="1" applyFill="1" applyBorder="1" applyAlignment="1">
      <alignment vertical="center"/>
    </xf>
    <xf numFmtId="4" fontId="39" fillId="20" borderId="42" xfId="104" applyNumberFormat="1" applyFont="1" applyFill="1" applyBorder="1" applyAlignment="1">
      <alignment vertical="center"/>
    </xf>
    <xf numFmtId="4" fontId="39" fillId="20" borderId="41" xfId="104" applyNumberFormat="1" applyFont="1" applyFill="1" applyBorder="1" applyAlignment="1">
      <alignment vertical="center"/>
    </xf>
    <xf numFmtId="0" fontId="39" fillId="0" borderId="0" xfId="120" applyFont="1" applyProtection="1"/>
    <xf numFmtId="4" fontId="39" fillId="20" borderId="0" xfId="104" applyNumberFormat="1" applyFont="1" applyFill="1" applyBorder="1" applyAlignment="1">
      <alignment vertical="center"/>
    </xf>
    <xf numFmtId="4" fontId="39" fillId="20" borderId="20" xfId="104" applyNumberFormat="1" applyFont="1" applyFill="1" applyBorder="1" applyAlignment="1">
      <alignment vertical="center"/>
    </xf>
    <xf numFmtId="0" fontId="39" fillId="20" borderId="0" xfId="120" applyFont="1" applyFill="1" applyBorder="1" applyAlignment="1">
      <alignment vertical="center"/>
    </xf>
    <xf numFmtId="0" fontId="39" fillId="20" borderId="20" xfId="120" applyFont="1" applyFill="1" applyBorder="1" applyAlignment="1">
      <alignment vertical="center"/>
    </xf>
    <xf numFmtId="0" fontId="39" fillId="20" borderId="72" xfId="120" applyFont="1" applyFill="1" applyBorder="1" applyProtection="1"/>
    <xf numFmtId="0" fontId="39" fillId="20" borderId="73" xfId="120" applyFont="1" applyFill="1" applyBorder="1" applyProtection="1"/>
    <xf numFmtId="0" fontId="39" fillId="20" borderId="74" xfId="120" applyFont="1" applyFill="1" applyBorder="1" applyProtection="1"/>
    <xf numFmtId="0" fontId="39" fillId="20" borderId="75" xfId="120" applyFont="1" applyFill="1" applyBorder="1" applyProtection="1"/>
    <xf numFmtId="0" fontId="39" fillId="20" borderId="77" xfId="120" applyFont="1" applyFill="1" applyBorder="1" applyProtection="1"/>
    <xf numFmtId="0" fontId="39" fillId="20" borderId="19" xfId="120" applyFont="1" applyFill="1" applyBorder="1" applyProtection="1"/>
    <xf numFmtId="0" fontId="42" fillId="20" borderId="0" xfId="120" applyFont="1" applyFill="1" applyBorder="1" applyAlignment="1" applyProtection="1">
      <alignment horizontal="center" vertical="center"/>
    </xf>
    <xf numFmtId="0" fontId="39" fillId="20" borderId="20" xfId="120" applyFont="1" applyFill="1" applyBorder="1" applyProtection="1"/>
    <xf numFmtId="0" fontId="39" fillId="0" borderId="0" xfId="120" applyFont="1" applyBorder="1" applyProtection="1"/>
    <xf numFmtId="0" fontId="39" fillId="20" borderId="40" xfId="120" applyFont="1" applyFill="1" applyBorder="1" applyProtection="1"/>
    <xf numFmtId="0" fontId="42" fillId="20" borderId="42" xfId="120" applyFont="1" applyFill="1" applyBorder="1" applyAlignment="1" applyProtection="1">
      <alignment horizontal="center" vertical="center"/>
    </xf>
    <xf numFmtId="0" fontId="39" fillId="20" borderId="41" xfId="120" applyFont="1" applyFill="1" applyBorder="1" applyProtection="1"/>
    <xf numFmtId="0" fontId="41" fillId="20" borderId="0" xfId="120" applyFont="1" applyFill="1" applyBorder="1" applyAlignment="1" applyProtection="1">
      <alignment vertical="center"/>
    </xf>
    <xf numFmtId="0" fontId="43" fillId="20" borderId="0" xfId="120" applyFont="1" applyFill="1" applyBorder="1" applyAlignment="1" applyProtection="1">
      <alignment vertical="center"/>
    </xf>
    <xf numFmtId="0" fontId="39" fillId="20" borderId="0" xfId="120" applyFont="1" applyFill="1" applyBorder="1" applyProtection="1"/>
    <xf numFmtId="0" fontId="41" fillId="38" borderId="10" xfId="120" applyFont="1" applyFill="1" applyBorder="1" applyAlignment="1" applyProtection="1">
      <alignment horizontal="center"/>
      <protection locked="0"/>
    </xf>
    <xf numFmtId="0" fontId="45" fillId="0" borderId="0" xfId="120" applyFont="1" applyProtection="1"/>
    <xf numFmtId="0" fontId="46" fillId="20" borderId="0" xfId="120" applyFont="1" applyFill="1" applyBorder="1" applyAlignment="1" applyProtection="1">
      <alignment vertical="center"/>
    </xf>
    <xf numFmtId="0" fontId="39" fillId="20" borderId="0" xfId="120" applyFont="1" applyFill="1" applyBorder="1" applyAlignment="1" applyProtection="1">
      <alignment vertical="center"/>
    </xf>
    <xf numFmtId="0" fontId="39" fillId="20" borderId="0" xfId="120" applyFont="1" applyFill="1" applyBorder="1" applyAlignment="1" applyProtection="1">
      <alignment horizontal="center" vertical="center"/>
    </xf>
    <xf numFmtId="0" fontId="47" fillId="0" borderId="0" xfId="120" applyFont="1" applyProtection="1"/>
    <xf numFmtId="10" fontId="44" fillId="20" borderId="10" xfId="122" applyNumberFormat="1" applyFont="1" applyFill="1" applyBorder="1" applyAlignment="1" applyProtection="1">
      <alignment horizontal="center" vertical="center" wrapText="1"/>
      <protection locked="0"/>
    </xf>
    <xf numFmtId="0" fontId="41" fillId="20" borderId="0" xfId="120" quotePrefix="1" applyFont="1" applyFill="1" applyBorder="1" applyAlignment="1" applyProtection="1">
      <alignment vertical="center"/>
    </xf>
    <xf numFmtId="10" fontId="41" fillId="20" borderId="0" xfId="120" applyNumberFormat="1" applyFont="1" applyFill="1" applyBorder="1" applyAlignment="1" applyProtection="1">
      <alignment horizontal="center" vertical="center"/>
    </xf>
    <xf numFmtId="10" fontId="44" fillId="20" borderId="0" xfId="122" applyNumberFormat="1" applyFont="1" applyFill="1" applyBorder="1" applyAlignment="1" applyProtection="1">
      <alignment vertical="center" wrapText="1"/>
    </xf>
    <xf numFmtId="10" fontId="41" fillId="20" borderId="0" xfId="122" applyNumberFormat="1" applyFont="1" applyFill="1" applyBorder="1" applyAlignment="1" applyProtection="1">
      <alignment vertical="center" wrapText="1"/>
    </xf>
    <xf numFmtId="175" fontId="48" fillId="20" borderId="0" xfId="120" applyNumberFormat="1" applyFont="1" applyFill="1" applyBorder="1" applyProtection="1"/>
    <xf numFmtId="10" fontId="39" fillId="0" borderId="0" xfId="122" applyNumberFormat="1" applyFont="1" applyProtection="1"/>
    <xf numFmtId="0" fontId="39" fillId="20" borderId="35" xfId="120" applyFont="1" applyFill="1" applyBorder="1" applyProtection="1"/>
    <xf numFmtId="0" fontId="39" fillId="20" borderId="37" xfId="120" applyFont="1" applyFill="1" applyBorder="1" applyProtection="1"/>
    <xf numFmtId="0" fontId="39" fillId="20" borderId="42" xfId="120" applyFont="1" applyFill="1" applyBorder="1" applyProtection="1"/>
    <xf numFmtId="0" fontId="41" fillId="20" borderId="0" xfId="120" applyFont="1" applyFill="1" applyBorder="1" applyAlignment="1" applyProtection="1">
      <alignment horizontal="center" vertical="center" wrapText="1"/>
    </xf>
    <xf numFmtId="0" fontId="39" fillId="0" borderId="0" xfId="120" applyFont="1" applyAlignment="1" applyProtection="1">
      <alignment horizontal="center"/>
    </xf>
    <xf numFmtId="0" fontId="39" fillId="20" borderId="0" xfId="120" applyFont="1" applyFill="1" applyBorder="1" applyAlignment="1" applyProtection="1">
      <alignment horizontal="left" vertical="center" wrapText="1"/>
    </xf>
    <xf numFmtId="10" fontId="39" fillId="20" borderId="0" xfId="122" applyNumberFormat="1" applyFont="1" applyFill="1" applyBorder="1" applyAlignment="1" applyProtection="1">
      <alignment horizontal="center" vertical="center" wrapText="1"/>
    </xf>
    <xf numFmtId="10" fontId="45" fillId="20" borderId="71" xfId="122" applyNumberFormat="1" applyFont="1" applyFill="1" applyBorder="1" applyAlignment="1" applyProtection="1">
      <alignment horizontal="center" vertical="center" wrapText="1"/>
      <protection locked="0"/>
    </xf>
    <xf numFmtId="10" fontId="39" fillId="20" borderId="20" xfId="120" applyNumberFormat="1" applyFont="1" applyFill="1" applyBorder="1" applyProtection="1"/>
    <xf numFmtId="10" fontId="39" fillId="0" borderId="0" xfId="120" applyNumberFormat="1" applyFont="1" applyBorder="1" applyProtection="1"/>
    <xf numFmtId="10" fontId="39" fillId="0" borderId="0" xfId="120" applyNumberFormat="1" applyFont="1" applyProtection="1"/>
    <xf numFmtId="10" fontId="45" fillId="20" borderId="13" xfId="122" applyNumberFormat="1" applyFont="1" applyFill="1" applyBorder="1" applyAlignment="1" applyProtection="1">
      <alignment horizontal="center" vertical="center" wrapText="1"/>
      <protection locked="0"/>
    </xf>
    <xf numFmtId="10" fontId="45" fillId="20" borderId="9" xfId="122" applyNumberFormat="1" applyFont="1" applyFill="1" applyBorder="1" applyAlignment="1" applyProtection="1">
      <alignment horizontal="center" vertical="center" wrapText="1"/>
      <protection locked="0"/>
    </xf>
    <xf numFmtId="0" fontId="41" fillId="20" borderId="0" xfId="120" applyFont="1" applyFill="1" applyBorder="1" applyAlignment="1" applyProtection="1">
      <alignment horizontal="left" vertical="center" wrapText="1"/>
    </xf>
    <xf numFmtId="175" fontId="41" fillId="20" borderId="0" xfId="122" applyNumberFormat="1" applyFont="1" applyFill="1" applyBorder="1" applyAlignment="1" applyProtection="1">
      <alignment horizontal="center" vertical="center" wrapText="1"/>
    </xf>
    <xf numFmtId="175" fontId="39" fillId="0" borderId="0" xfId="120" applyNumberFormat="1" applyFont="1" applyProtection="1"/>
    <xf numFmtId="0" fontId="49" fillId="20" borderId="0" xfId="120" applyFont="1" applyFill="1" applyBorder="1" applyProtection="1"/>
    <xf numFmtId="0" fontId="41" fillId="0" borderId="0" xfId="120" applyFont="1" applyProtection="1"/>
    <xf numFmtId="10" fontId="48" fillId="20" borderId="0" xfId="122" applyNumberFormat="1" applyFont="1" applyFill="1" applyBorder="1" applyAlignment="1" applyProtection="1">
      <alignment horizontal="center"/>
    </xf>
    <xf numFmtId="0" fontId="51" fillId="20" borderId="0" xfId="120" applyFont="1" applyFill="1" applyBorder="1" applyAlignment="1" applyProtection="1">
      <alignment horizontal="center"/>
    </xf>
    <xf numFmtId="0" fontId="52" fillId="20" borderId="0" xfId="120" applyFont="1" applyFill="1" applyBorder="1" applyAlignment="1" applyProtection="1">
      <alignment horizontal="center" vertical="center" wrapText="1"/>
    </xf>
    <xf numFmtId="0" fontId="52" fillId="20" borderId="0" xfId="120" applyFont="1" applyFill="1" applyBorder="1" applyAlignment="1" applyProtection="1">
      <alignment horizontal="left" vertical="center" wrapText="1"/>
    </xf>
    <xf numFmtId="10" fontId="53" fillId="20" borderId="0" xfId="122" applyNumberFormat="1" applyFont="1" applyFill="1" applyBorder="1" applyAlignment="1" applyProtection="1">
      <alignment horizontal="center" vertical="center" wrapText="1"/>
    </xf>
    <xf numFmtId="0" fontId="41" fillId="20" borderId="0" xfId="120" applyFont="1" applyFill="1" applyBorder="1" applyAlignment="1" applyProtection="1">
      <alignment horizontal="center" vertical="center"/>
    </xf>
    <xf numFmtId="0" fontId="41" fillId="0" borderId="0" xfId="120" applyFont="1" applyAlignment="1" applyProtection="1">
      <alignment vertical="center"/>
    </xf>
    <xf numFmtId="0" fontId="41" fillId="0" borderId="0" xfId="120" applyFont="1" applyAlignment="1" applyProtection="1">
      <alignment vertical="center" wrapText="1"/>
    </xf>
    <xf numFmtId="0" fontId="41" fillId="20" borderId="0" xfId="120" applyFont="1" applyFill="1" applyBorder="1" applyAlignment="1" applyProtection="1">
      <alignment wrapText="1"/>
    </xf>
    <xf numFmtId="0" fontId="52" fillId="20" borderId="36" xfId="120" applyFont="1" applyFill="1" applyBorder="1" applyAlignment="1" applyProtection="1">
      <alignment horizontal="left" vertical="center" wrapText="1"/>
    </xf>
    <xf numFmtId="10" fontId="53" fillId="20" borderId="36" xfId="122" applyNumberFormat="1" applyFont="1" applyFill="1" applyBorder="1" applyAlignment="1" applyProtection="1">
      <alignment horizontal="center" vertical="center" wrapText="1"/>
    </xf>
    <xf numFmtId="0" fontId="39" fillId="20" borderId="36" xfId="120" applyFont="1" applyFill="1" applyBorder="1" applyProtection="1"/>
    <xf numFmtId="0" fontId="41" fillId="0" borderId="0" xfId="120" applyFont="1" applyAlignment="1" applyProtection="1">
      <alignment horizontal="center"/>
    </xf>
    <xf numFmtId="10" fontId="39" fillId="0" borderId="0" xfId="120" applyNumberFormat="1" applyFont="1" applyAlignment="1" applyProtection="1">
      <alignment horizontal="center"/>
    </xf>
    <xf numFmtId="10" fontId="39" fillId="0" borderId="0" xfId="122" applyNumberFormat="1" applyFont="1" applyAlignment="1" applyProtection="1">
      <alignment horizontal="center"/>
    </xf>
    <xf numFmtId="176" fontId="39" fillId="0" borderId="0" xfId="120" applyNumberFormat="1" applyFont="1" applyAlignment="1" applyProtection="1">
      <alignment horizontal="center"/>
    </xf>
    <xf numFmtId="9" fontId="39" fillId="0" borderId="0" xfId="122" applyFont="1" applyProtection="1"/>
    <xf numFmtId="0" fontId="39" fillId="0" borderId="19" xfId="120" applyFont="1" applyBorder="1" applyProtection="1"/>
    <xf numFmtId="0" fontId="39" fillId="0" borderId="20" xfId="120" applyFont="1" applyBorder="1" applyProtection="1"/>
    <xf numFmtId="0" fontId="41" fillId="0" borderId="19" xfId="120" applyFont="1" applyBorder="1" applyAlignment="1" applyProtection="1">
      <alignment vertical="center"/>
    </xf>
    <xf numFmtId="0" fontId="39" fillId="0" borderId="0" xfId="120" applyFont="1" applyBorder="1" applyAlignment="1" applyProtection="1">
      <alignment vertical="center" wrapText="1"/>
    </xf>
    <xf numFmtId="0" fontId="41" fillId="0" borderId="0" xfId="120" applyFont="1" applyBorder="1" applyAlignment="1" applyProtection="1">
      <alignment vertical="center"/>
    </xf>
    <xf numFmtId="0" fontId="39" fillId="0" borderId="0" xfId="120" applyFont="1" applyBorder="1" applyAlignment="1" applyProtection="1">
      <alignment vertical="center"/>
    </xf>
    <xf numFmtId="0" fontId="54" fillId="0" borderId="0" xfId="120" applyFont="1" applyAlignment="1" applyProtection="1">
      <alignment vertical="center" wrapText="1"/>
    </xf>
    <xf numFmtId="0" fontId="39" fillId="0" borderId="19" xfId="120" applyFont="1" applyBorder="1" applyAlignment="1" applyProtection="1">
      <alignment vertical="center"/>
    </xf>
    <xf numFmtId="9" fontId="39" fillId="0" borderId="0" xfId="120" applyNumberFormat="1" applyFont="1" applyProtection="1"/>
    <xf numFmtId="0" fontId="41" fillId="0" borderId="19" xfId="120" applyFont="1" applyBorder="1" applyProtection="1"/>
    <xf numFmtId="0" fontId="41" fillId="0" borderId="0" xfId="120" applyFont="1" applyBorder="1" applyProtection="1"/>
    <xf numFmtId="0" fontId="54" fillId="0" borderId="38" xfId="120" applyFont="1" applyBorder="1" applyAlignment="1" applyProtection="1">
      <alignment vertical="top" wrapText="1"/>
    </xf>
    <xf numFmtId="10" fontId="54" fillId="0" borderId="37" xfId="120" applyNumberFormat="1" applyFont="1" applyBorder="1" applyAlignment="1" applyProtection="1">
      <alignment horizontal="center" vertical="top" wrapText="1"/>
    </xf>
    <xf numFmtId="0" fontId="39" fillId="0" borderId="35" xfId="120" applyFont="1" applyBorder="1" applyProtection="1"/>
    <xf numFmtId="0" fontId="39" fillId="0" borderId="36" xfId="120" applyFont="1" applyBorder="1" applyProtection="1"/>
    <xf numFmtId="0" fontId="39" fillId="0" borderId="37" xfId="120" applyFont="1" applyBorder="1" applyProtection="1"/>
    <xf numFmtId="0" fontId="54" fillId="0" borderId="39" xfId="120" applyFont="1" applyBorder="1" applyAlignment="1" applyProtection="1">
      <alignment vertical="top" wrapText="1"/>
    </xf>
    <xf numFmtId="10" fontId="54" fillId="0" borderId="21" xfId="120" applyNumberFormat="1" applyFont="1" applyBorder="1" applyAlignment="1" applyProtection="1">
      <alignment horizontal="center" vertical="top" wrapText="1"/>
    </xf>
    <xf numFmtId="0" fontId="39" fillId="0" borderId="19" xfId="120" applyFont="1" applyBorder="1" applyAlignment="1" applyProtection="1">
      <alignment wrapText="1"/>
    </xf>
    <xf numFmtId="0" fontId="39" fillId="37" borderId="0" xfId="120" applyFont="1" applyFill="1" applyBorder="1" applyAlignment="1" applyProtection="1">
      <alignment wrapText="1"/>
    </xf>
    <xf numFmtId="0" fontId="39" fillId="0" borderId="0" xfId="120" applyFont="1" applyBorder="1" applyAlignment="1" applyProtection="1">
      <alignment wrapText="1"/>
    </xf>
    <xf numFmtId="0" fontId="39" fillId="0" borderId="20" xfId="120" applyFont="1" applyBorder="1" applyAlignment="1" applyProtection="1">
      <alignment wrapText="1"/>
    </xf>
    <xf numFmtId="0" fontId="39" fillId="0" borderId="10" xfId="120" applyFont="1" applyBorder="1" applyProtection="1"/>
    <xf numFmtId="0" fontId="39" fillId="0" borderId="10" xfId="120" applyFont="1" applyBorder="1" applyAlignment="1" applyProtection="1">
      <alignment horizontal="center"/>
    </xf>
    <xf numFmtId="10" fontId="54" fillId="0" borderId="10" xfId="120" applyNumberFormat="1" applyFont="1" applyBorder="1" applyAlignment="1" applyProtection="1">
      <alignment horizontal="center" vertical="top" wrapText="1"/>
    </xf>
    <xf numFmtId="0" fontId="54" fillId="0" borderId="10" xfId="120" applyFont="1" applyBorder="1" applyAlignment="1" applyProtection="1">
      <alignment vertical="top" wrapText="1"/>
    </xf>
    <xf numFmtId="0" fontId="54" fillId="0" borderId="39" xfId="120" applyFont="1" applyBorder="1" applyAlignment="1" applyProtection="1">
      <alignment horizontal="center" vertical="top" wrapText="1"/>
    </xf>
    <xf numFmtId="0" fontId="54" fillId="0" borderId="21" xfId="120" applyFont="1" applyBorder="1" applyAlignment="1" applyProtection="1">
      <alignment horizontal="center" vertical="top" wrapText="1"/>
    </xf>
    <xf numFmtId="4" fontId="55" fillId="20" borderId="22" xfId="104" applyNumberFormat="1" applyFont="1" applyFill="1" applyBorder="1" applyAlignment="1">
      <alignment vertical="center"/>
    </xf>
    <xf numFmtId="0" fontId="55" fillId="20" borderId="0" xfId="0" applyFont="1" applyFill="1" applyBorder="1"/>
    <xf numFmtId="4" fontId="55" fillId="20" borderId="0" xfId="104" applyNumberFormat="1" applyFont="1" applyFill="1" applyBorder="1" applyAlignment="1">
      <alignment vertical="center" wrapText="1"/>
    </xf>
    <xf numFmtId="4" fontId="55" fillId="20" borderId="0" xfId="104" applyNumberFormat="1" applyFont="1" applyFill="1" applyBorder="1" applyAlignment="1">
      <alignment horizontal="justify" vertical="center" wrapText="1"/>
    </xf>
    <xf numFmtId="169" fontId="55" fillId="20" borderId="0" xfId="104" applyNumberFormat="1" applyFont="1" applyFill="1" applyBorder="1" applyAlignment="1">
      <alignment vertical="center" wrapText="1"/>
    </xf>
    <xf numFmtId="43" fontId="55" fillId="20" borderId="0" xfId="104" applyNumberFormat="1" applyFont="1" applyFill="1" applyBorder="1" applyAlignment="1">
      <alignment horizontal="right" vertical="center" wrapText="1"/>
    </xf>
    <xf numFmtId="4" fontId="55" fillId="20" borderId="23" xfId="104" applyNumberFormat="1" applyFont="1" applyFill="1" applyBorder="1" applyAlignment="1">
      <alignment vertical="center" wrapText="1"/>
    </xf>
    <xf numFmtId="0" fontId="55" fillId="0" borderId="0" xfId="0" applyFont="1" applyFill="1"/>
    <xf numFmtId="4" fontId="55" fillId="20" borderId="0" xfId="104" applyNumberFormat="1" applyFont="1" applyFill="1" applyBorder="1" applyAlignment="1">
      <alignment vertical="center"/>
    </xf>
    <xf numFmtId="4" fontId="55" fillId="20" borderId="0" xfId="104" applyNumberFormat="1" applyFont="1" applyFill="1" applyBorder="1" applyAlignment="1">
      <alignment horizontal="justify" vertical="center"/>
    </xf>
    <xf numFmtId="169" fontId="55" fillId="20" borderId="0" xfId="104" applyNumberFormat="1" applyFont="1" applyFill="1" applyBorder="1" applyAlignment="1">
      <alignment vertical="center"/>
    </xf>
    <xf numFmtId="43" fontId="55" fillId="20" borderId="0" xfId="104" applyNumberFormat="1" applyFont="1" applyFill="1" applyBorder="1" applyAlignment="1">
      <alignment horizontal="right" vertical="center"/>
    </xf>
    <xf numFmtId="4" fontId="55" fillId="20" borderId="23" xfId="104" applyNumberFormat="1" applyFont="1" applyFill="1" applyBorder="1" applyAlignment="1">
      <alignment vertical="center"/>
    </xf>
    <xf numFmtId="0" fontId="55" fillId="20" borderId="22" xfId="0" applyFont="1" applyFill="1" applyBorder="1" applyAlignment="1">
      <alignment horizontal="left" vertical="center"/>
    </xf>
    <xf numFmtId="0" fontId="56" fillId="20" borderId="22" xfId="0" applyFont="1" applyFill="1" applyBorder="1" applyAlignment="1">
      <alignment horizontal="left" vertical="center"/>
    </xf>
    <xf numFmtId="4" fontId="57" fillId="20" borderId="0" xfId="104" applyNumberFormat="1" applyFont="1" applyFill="1" applyBorder="1" applyAlignment="1">
      <alignment vertical="center" wrapText="1"/>
    </xf>
    <xf numFmtId="169" fontId="57" fillId="20" borderId="0" xfId="104" applyNumberFormat="1" applyFont="1" applyFill="1" applyBorder="1" applyAlignment="1">
      <alignment vertical="center" wrapText="1"/>
    </xf>
    <xf numFmtId="43" fontId="55" fillId="20" borderId="0" xfId="0" applyNumberFormat="1" applyFont="1" applyFill="1" applyBorder="1" applyAlignment="1">
      <alignment horizontal="right"/>
    </xf>
    <xf numFmtId="43" fontId="55" fillId="20" borderId="0" xfId="0" applyNumberFormat="1" applyFont="1" applyFill="1" applyBorder="1"/>
    <xf numFmtId="43" fontId="55" fillId="20" borderId="23" xfId="0" applyNumberFormat="1" applyFont="1" applyFill="1" applyBorder="1"/>
    <xf numFmtId="0" fontId="56" fillId="20" borderId="59" xfId="0" applyFont="1" applyFill="1" applyBorder="1" applyAlignment="1">
      <alignment horizontal="center" vertical="center"/>
    </xf>
    <xf numFmtId="0" fontId="55" fillId="20" borderId="36" xfId="0" applyFont="1" applyFill="1" applyBorder="1"/>
    <xf numFmtId="1" fontId="55" fillId="20" borderId="36" xfId="0" applyNumberFormat="1" applyFont="1" applyFill="1" applyBorder="1"/>
    <xf numFmtId="0" fontId="56" fillId="0" borderId="10" xfId="0" applyFont="1" applyFill="1" applyBorder="1" applyAlignment="1">
      <alignment horizontal="center" vertical="center"/>
    </xf>
    <xf numFmtId="0" fontId="57" fillId="0" borderId="10" xfId="104" applyFont="1" applyFill="1" applyBorder="1" applyAlignment="1">
      <alignment horizontal="center" vertical="center" wrapText="1"/>
    </xf>
    <xf numFmtId="1" fontId="57" fillId="0" borderId="10" xfId="104" applyNumberFormat="1" applyFont="1" applyFill="1" applyBorder="1" applyAlignment="1">
      <alignment horizontal="center" vertical="center" wrapText="1"/>
    </xf>
    <xf numFmtId="0" fontId="57" fillId="0" borderId="10" xfId="104" applyFont="1" applyFill="1" applyBorder="1" applyAlignment="1">
      <alignment horizontal="justify" vertical="center" wrapText="1"/>
    </xf>
    <xf numFmtId="169" fontId="57" fillId="0" borderId="10" xfId="104" applyNumberFormat="1" applyFont="1" applyFill="1" applyBorder="1" applyAlignment="1">
      <alignment horizontal="center" vertical="center" wrapText="1"/>
    </xf>
    <xf numFmtId="43" fontId="57" fillId="0" borderId="10" xfId="104" applyNumberFormat="1" applyFont="1" applyFill="1" applyBorder="1" applyAlignment="1">
      <alignment horizontal="right" vertical="center" wrapText="1"/>
    </xf>
    <xf numFmtId="43" fontId="57" fillId="0" borderId="10" xfId="104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/>
    </xf>
    <xf numFmtId="0" fontId="57" fillId="0" borderId="0" xfId="104" applyFont="1" applyFill="1" applyBorder="1" applyAlignment="1">
      <alignment horizontal="center" vertical="center" wrapText="1"/>
    </xf>
    <xf numFmtId="1" fontId="59" fillId="0" borderId="0" xfId="104" applyNumberFormat="1" applyFont="1" applyFill="1" applyBorder="1" applyAlignment="1">
      <alignment horizontal="center" vertical="center" wrapText="1"/>
    </xf>
    <xf numFmtId="0" fontId="59" fillId="0" borderId="0" xfId="104" applyFont="1" applyFill="1" applyBorder="1" applyAlignment="1">
      <alignment horizontal="justify" vertical="center" wrapText="1"/>
    </xf>
    <xf numFmtId="169" fontId="57" fillId="0" borderId="0" xfId="104" applyNumberFormat="1" applyFont="1" applyFill="1" applyBorder="1" applyAlignment="1">
      <alignment horizontal="center" vertical="center" wrapText="1"/>
    </xf>
    <xf numFmtId="43" fontId="57" fillId="0" borderId="0" xfId="104" applyNumberFormat="1" applyFont="1" applyFill="1" applyBorder="1" applyAlignment="1">
      <alignment horizontal="right" vertical="center" wrapText="1"/>
    </xf>
    <xf numFmtId="43" fontId="57" fillId="0" borderId="0" xfId="104" applyNumberFormat="1" applyFont="1" applyFill="1" applyBorder="1" applyAlignment="1">
      <alignment horizontal="center" vertical="center" wrapText="1"/>
    </xf>
    <xf numFmtId="43" fontId="57" fillId="0" borderId="23" xfId="104" applyNumberFormat="1" applyFont="1" applyFill="1" applyBorder="1" applyAlignment="1">
      <alignment horizontal="center" vertical="center" wrapText="1"/>
    </xf>
    <xf numFmtId="1" fontId="57" fillId="0" borderId="0" xfId="104" applyNumberFormat="1" applyFont="1" applyFill="1" applyBorder="1" applyAlignment="1">
      <alignment horizontal="center" vertical="center" wrapText="1"/>
    </xf>
    <xf numFmtId="0" fontId="57" fillId="0" borderId="0" xfId="104" applyFont="1" applyFill="1" applyBorder="1" applyAlignment="1">
      <alignment horizontal="justify" wrapText="1"/>
    </xf>
    <xf numFmtId="169" fontId="57" fillId="0" borderId="0" xfId="104" applyNumberFormat="1" applyFont="1" applyFill="1" applyBorder="1" applyAlignment="1">
      <alignment horizontal="right" vertical="center" wrapText="1"/>
    </xf>
    <xf numFmtId="43" fontId="57" fillId="0" borderId="23" xfId="104" applyNumberFormat="1" applyFont="1" applyFill="1" applyBorder="1" applyAlignment="1">
      <alignment horizontal="right" vertical="center" wrapText="1"/>
    </xf>
    <xf numFmtId="3" fontId="58" fillId="32" borderId="10" xfId="3" applyNumberFormat="1" applyFont="1" applyFill="1" applyBorder="1" applyAlignment="1" applyProtection="1">
      <alignment horizontal="center" vertical="top" wrapText="1"/>
    </xf>
    <xf numFmtId="0" fontId="58" fillId="32" borderId="10" xfId="3" applyFont="1" applyFill="1" applyBorder="1" applyAlignment="1" applyProtection="1">
      <alignment horizontal="center" vertical="top" wrapText="1"/>
    </xf>
    <xf numFmtId="0" fontId="56" fillId="32" borderId="10" xfId="3" applyFont="1" applyFill="1" applyBorder="1" applyAlignment="1" applyProtection="1">
      <alignment horizontal="center" vertical="top" wrapText="1"/>
      <protection locked="0"/>
    </xf>
    <xf numFmtId="0" fontId="58" fillId="32" borderId="11" xfId="3" applyFont="1" applyFill="1" applyBorder="1" applyAlignment="1" applyProtection="1">
      <alignment horizontal="justify" wrapText="1"/>
      <protection locked="0"/>
    </xf>
    <xf numFmtId="172" fontId="58" fillId="32" borderId="10" xfId="3" applyNumberFormat="1" applyFont="1" applyFill="1" applyBorder="1" applyAlignment="1" applyProtection="1">
      <alignment horizontal="center" vertical="top" wrapText="1"/>
      <protection locked="0"/>
    </xf>
    <xf numFmtId="173" fontId="56" fillId="32" borderId="10" xfId="10" applyNumberFormat="1" applyFont="1" applyFill="1" applyBorder="1" applyAlignment="1" applyProtection="1">
      <alignment horizontal="right" vertical="top" wrapText="1"/>
      <protection locked="0"/>
    </xf>
    <xf numFmtId="43" fontId="56" fillId="32" borderId="10" xfId="10" applyNumberFormat="1" applyFont="1" applyFill="1" applyBorder="1" applyAlignment="1" applyProtection="1">
      <alignment horizontal="right" vertical="top" wrapText="1"/>
      <protection locked="0"/>
    </xf>
    <xf numFmtId="43" fontId="55" fillId="0" borderId="0" xfId="0" applyNumberFormat="1" applyFont="1" applyFill="1"/>
    <xf numFmtId="0" fontId="56" fillId="0" borderId="13" xfId="0" applyFont="1" applyFill="1" applyBorder="1" applyAlignment="1">
      <alignment horizontal="center" vertical="center"/>
    </xf>
    <xf numFmtId="0" fontId="57" fillId="20" borderId="10" xfId="3" applyFont="1" applyFill="1" applyBorder="1" applyAlignment="1" applyProtection="1">
      <alignment horizontal="center" vertical="top" wrapText="1"/>
    </xf>
    <xf numFmtId="0" fontId="57" fillId="0" borderId="10" xfId="104" applyFont="1" applyFill="1" applyBorder="1" applyAlignment="1">
      <alignment horizontal="center" vertical="top" wrapText="1"/>
    </xf>
    <xf numFmtId="0" fontId="57" fillId="20" borderId="10" xfId="3" applyFont="1" applyFill="1" applyBorder="1" applyAlignment="1" applyProtection="1">
      <alignment horizontal="justify" wrapText="1"/>
      <protection locked="0"/>
    </xf>
    <xf numFmtId="0" fontId="57" fillId="20" borderId="10" xfId="3" applyFont="1" applyFill="1" applyBorder="1" applyAlignment="1" applyProtection="1">
      <alignment horizontal="center" vertical="top" wrapText="1"/>
      <protection locked="0"/>
    </xf>
    <xf numFmtId="173" fontId="55" fillId="0" borderId="10" xfId="0" applyNumberFormat="1" applyFont="1" applyFill="1" applyBorder="1" applyAlignment="1" applyProtection="1">
      <alignment horizontal="right" vertical="top" wrapText="1"/>
      <protection locked="0"/>
    </xf>
    <xf numFmtId="43" fontId="57" fillId="0" borderId="10" xfId="10" applyNumberFormat="1" applyFont="1" applyFill="1" applyBorder="1" applyAlignment="1" applyProtection="1">
      <alignment horizontal="right" vertical="top" wrapText="1"/>
      <protection locked="0"/>
    </xf>
    <xf numFmtId="43" fontId="57" fillId="20" borderId="10" xfId="10" applyNumberFormat="1" applyFont="1" applyFill="1" applyBorder="1" applyAlignment="1" applyProtection="1">
      <alignment horizontal="right" vertical="top" wrapText="1"/>
      <protection locked="0"/>
    </xf>
    <xf numFmtId="43" fontId="60" fillId="0" borderId="10" xfId="0" applyNumberFormat="1" applyFont="1" applyFill="1" applyBorder="1" applyAlignment="1" applyProtection="1">
      <alignment horizontal="right" vertical="top"/>
      <protection locked="0"/>
    </xf>
    <xf numFmtId="0" fontId="56" fillId="0" borderId="9" xfId="0" applyFont="1" applyFill="1" applyBorder="1" applyAlignment="1">
      <alignment horizontal="center" vertical="center"/>
    </xf>
    <xf numFmtId="0" fontId="57" fillId="0" borderId="0" xfId="104" applyFont="1" applyFill="1" applyBorder="1" applyAlignment="1">
      <alignment horizontal="justify" vertical="center" wrapText="1"/>
    </xf>
    <xf numFmtId="171" fontId="57" fillId="0" borderId="10" xfId="104" applyNumberFormat="1" applyFont="1" applyFill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3" fontId="56" fillId="0" borderId="10" xfId="3" applyNumberFormat="1" applyFont="1" applyFill="1" applyBorder="1" applyAlignment="1" applyProtection="1">
      <alignment horizontal="center" vertical="center" wrapText="1"/>
    </xf>
    <xf numFmtId="0" fontId="56" fillId="32" borderId="10" xfId="104" applyFont="1" applyFill="1" applyBorder="1" applyAlignment="1">
      <alignment horizontal="center" vertical="center" wrapText="1"/>
    </xf>
    <xf numFmtId="0" fontId="58" fillId="32" borderId="11" xfId="3" applyFont="1" applyFill="1" applyBorder="1" applyAlignment="1" applyProtection="1">
      <alignment horizontal="justify" vertical="center" wrapText="1"/>
      <protection locked="0"/>
    </xf>
    <xf numFmtId="168" fontId="58" fillId="32" borderId="10" xfId="3" applyNumberFormat="1" applyFont="1" applyFill="1" applyBorder="1" applyAlignment="1" applyProtection="1">
      <alignment horizontal="center" vertical="center" wrapText="1"/>
      <protection locked="0"/>
    </xf>
    <xf numFmtId="169" fontId="58" fillId="32" borderId="10" xfId="3" applyNumberFormat="1" applyFont="1" applyFill="1" applyBorder="1" applyAlignment="1" applyProtection="1">
      <alignment horizontal="center" vertical="center" wrapText="1"/>
      <protection locked="0"/>
    </xf>
    <xf numFmtId="43" fontId="56" fillId="32" borderId="10" xfId="10" applyNumberFormat="1" applyFont="1" applyFill="1" applyBorder="1" applyAlignment="1" applyProtection="1">
      <alignment horizontal="right" vertical="center" wrapText="1"/>
      <protection locked="0"/>
    </xf>
    <xf numFmtId="43" fontId="57" fillId="32" borderId="9" xfId="104" applyNumberFormat="1" applyFont="1" applyFill="1" applyBorder="1" applyAlignment="1">
      <alignment horizontal="right" vertical="center" wrapText="1"/>
    </xf>
    <xf numFmtId="43" fontId="57" fillId="32" borderId="9" xfId="104" applyNumberFormat="1" applyFont="1" applyFill="1" applyBorder="1" applyAlignment="1">
      <alignment horizontal="center" vertical="center" wrapText="1"/>
    </xf>
    <xf numFmtId="43" fontId="57" fillId="0" borderId="10" xfId="10" applyNumberFormat="1" applyFont="1" applyFill="1" applyBorder="1" applyAlignment="1" applyProtection="1">
      <alignment horizontal="right" vertical="center" wrapText="1"/>
      <protection locked="0"/>
    </xf>
    <xf numFmtId="43" fontId="57" fillId="0" borderId="0" xfId="10" applyNumberFormat="1" applyFont="1" applyFill="1" applyBorder="1" applyAlignment="1" applyProtection="1">
      <alignment horizontal="right" vertical="center" wrapText="1"/>
      <protection locked="0"/>
    </xf>
    <xf numFmtId="43" fontId="57" fillId="0" borderId="23" xfId="10" applyNumberFormat="1" applyFont="1" applyFill="1" applyBorder="1" applyAlignment="1" applyProtection="1">
      <alignment horizontal="right" vertical="center" wrapText="1"/>
      <protection locked="0"/>
    </xf>
    <xf numFmtId="2" fontId="57" fillId="0" borderId="9" xfId="104" applyNumberFormat="1" applyFont="1" applyFill="1" applyBorder="1" applyAlignment="1">
      <alignment horizontal="center" vertical="center" wrapText="1"/>
    </xf>
    <xf numFmtId="2" fontId="57" fillId="0" borderId="9" xfId="104" applyNumberFormat="1" applyFont="1" applyFill="1" applyBorder="1" applyAlignment="1">
      <alignment horizontal="justify" vertical="center" wrapText="1"/>
    </xf>
    <xf numFmtId="169" fontId="57" fillId="0" borderId="9" xfId="104" applyNumberFormat="1" applyFont="1" applyFill="1" applyBorder="1" applyAlignment="1">
      <alignment horizontal="center" vertical="center" wrapText="1"/>
    </xf>
    <xf numFmtId="43" fontId="57" fillId="0" borderId="9" xfId="104" applyNumberFormat="1" applyFont="1" applyFill="1" applyBorder="1" applyAlignment="1">
      <alignment horizontal="right" vertical="center" wrapText="1"/>
    </xf>
    <xf numFmtId="43" fontId="57" fillId="0" borderId="9" xfId="104" applyNumberFormat="1" applyFont="1" applyFill="1" applyBorder="1" applyAlignment="1">
      <alignment horizontal="center" vertical="center" wrapText="1"/>
    </xf>
    <xf numFmtId="43" fontId="56" fillId="0" borderId="22" xfId="0" applyNumberFormat="1" applyFont="1" applyFill="1" applyBorder="1" applyAlignment="1">
      <alignment horizontal="center"/>
    </xf>
    <xf numFmtId="0" fontId="57" fillId="0" borderId="9" xfId="104" applyFont="1" applyFill="1" applyBorder="1" applyAlignment="1">
      <alignment horizontal="center" vertical="center" wrapText="1"/>
    </xf>
    <xf numFmtId="0" fontId="57" fillId="0" borderId="11" xfId="104" applyFont="1" applyFill="1" applyBorder="1" applyAlignment="1">
      <alignment horizontal="justify" vertical="center" wrapText="1"/>
    </xf>
    <xf numFmtId="1" fontId="57" fillId="0" borderId="9" xfId="104" applyNumberFormat="1" applyFont="1" applyFill="1" applyBorder="1" applyAlignment="1">
      <alignment horizontal="center" vertical="center" wrapText="1"/>
    </xf>
    <xf numFmtId="0" fontId="58" fillId="32" borderId="11" xfId="3" applyFont="1" applyFill="1" applyBorder="1" applyAlignment="1" applyProtection="1">
      <alignment vertical="center" wrapText="1"/>
      <protection locked="0"/>
    </xf>
    <xf numFmtId="43" fontId="55" fillId="0" borderId="22" xfId="0" applyNumberFormat="1" applyFont="1" applyFill="1" applyBorder="1"/>
    <xf numFmtId="0" fontId="57" fillId="0" borderId="10" xfId="104" applyFont="1" applyFill="1" applyBorder="1" applyAlignment="1">
      <alignment horizontal="justify" wrapText="1"/>
    </xf>
    <xf numFmtId="169" fontId="57" fillId="0" borderId="10" xfId="104" applyNumberFormat="1" applyFont="1" applyFill="1" applyBorder="1" applyAlignment="1">
      <alignment horizontal="right" vertical="center" wrapText="1"/>
    </xf>
    <xf numFmtId="2" fontId="57" fillId="0" borderId="10" xfId="104" applyNumberFormat="1" applyFont="1" applyFill="1" applyBorder="1" applyAlignment="1">
      <alignment horizontal="center" vertical="center" wrapText="1"/>
    </xf>
    <xf numFmtId="0" fontId="57" fillId="0" borderId="10" xfId="104" applyFont="1" applyFill="1" applyBorder="1" applyAlignment="1">
      <alignment horizontal="left" vertical="center" wrapText="1"/>
    </xf>
    <xf numFmtId="0" fontId="57" fillId="0" borderId="9" xfId="104" applyFont="1" applyFill="1" applyBorder="1" applyAlignment="1">
      <alignment horizontal="left" vertical="center" wrapText="1"/>
    </xf>
    <xf numFmtId="2" fontId="57" fillId="0" borderId="9" xfId="104" applyNumberFormat="1" applyFont="1" applyFill="1" applyBorder="1" applyAlignment="1">
      <alignment horizontal="justify" wrapText="1"/>
    </xf>
    <xf numFmtId="43" fontId="56" fillId="20" borderId="22" xfId="0" applyNumberFormat="1" applyFont="1" applyFill="1" applyBorder="1" applyAlignment="1">
      <alignment horizontal="center"/>
    </xf>
    <xf numFmtId="0" fontId="57" fillId="20" borderId="25" xfId="104" applyFont="1" applyFill="1" applyBorder="1" applyAlignment="1">
      <alignment horizontal="center" vertical="center" wrapText="1"/>
    </xf>
    <xf numFmtId="0" fontId="57" fillId="20" borderId="25" xfId="104" applyFont="1" applyFill="1" applyBorder="1" applyAlignment="1">
      <alignment horizontal="justify" vertical="center" wrapText="1"/>
    </xf>
    <xf numFmtId="169" fontId="57" fillId="20" borderId="25" xfId="104" applyNumberFormat="1" applyFont="1" applyFill="1" applyBorder="1" applyAlignment="1">
      <alignment horizontal="center" vertical="center" wrapText="1"/>
    </xf>
    <xf numFmtId="43" fontId="57" fillId="20" borderId="25" xfId="104" applyNumberFormat="1" applyFont="1" applyFill="1" applyBorder="1" applyAlignment="1">
      <alignment horizontal="right" vertical="center" wrapText="1"/>
    </xf>
    <xf numFmtId="43" fontId="57" fillId="20" borderId="25" xfId="104" applyNumberFormat="1" applyFont="1" applyFill="1" applyBorder="1" applyAlignment="1">
      <alignment horizontal="center" vertical="center" wrapText="1"/>
    </xf>
    <xf numFmtId="0" fontId="57" fillId="20" borderId="70" xfId="104" applyFont="1" applyFill="1" applyBorder="1" applyAlignment="1">
      <alignment horizontal="center" vertical="center" wrapText="1"/>
    </xf>
    <xf numFmtId="2" fontId="57" fillId="0" borderId="9" xfId="104" applyNumberFormat="1" applyFont="1" applyFill="1" applyBorder="1" applyAlignment="1">
      <alignment horizontal="left" vertical="center" wrapText="1"/>
    </xf>
    <xf numFmtId="0" fontId="57" fillId="0" borderId="23" xfId="104" applyFont="1" applyFill="1" applyBorder="1" applyAlignment="1">
      <alignment horizontal="center" vertical="center" wrapText="1"/>
    </xf>
    <xf numFmtId="1" fontId="58" fillId="32" borderId="10" xfId="3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Fill="1" applyBorder="1"/>
    <xf numFmtId="1" fontId="55" fillId="0" borderId="0" xfId="0" applyNumberFormat="1" applyFont="1" applyFill="1" applyBorder="1"/>
    <xf numFmtId="0" fontId="55" fillId="0" borderId="0" xfId="0" applyFont="1" applyFill="1" applyBorder="1" applyAlignment="1">
      <alignment horizontal="justify"/>
    </xf>
    <xf numFmtId="169" fontId="55" fillId="0" borderId="0" xfId="0" applyNumberFormat="1" applyFont="1" applyFill="1" applyBorder="1"/>
    <xf numFmtId="43" fontId="55" fillId="0" borderId="0" xfId="0" applyNumberFormat="1" applyFont="1" applyFill="1" applyBorder="1" applyAlignment="1">
      <alignment horizontal="right"/>
    </xf>
    <xf numFmtId="43" fontId="55" fillId="0" borderId="0" xfId="0" applyNumberFormat="1" applyFont="1" applyFill="1" applyBorder="1"/>
    <xf numFmtId="43" fontId="55" fillId="0" borderId="23" xfId="0" applyNumberFormat="1" applyFont="1" applyFill="1" applyBorder="1"/>
    <xf numFmtId="43" fontId="57" fillId="0" borderId="10" xfId="10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Fill="1" applyBorder="1" applyAlignment="1">
      <alignment vertical="center"/>
    </xf>
    <xf numFmtId="171" fontId="55" fillId="0" borderId="0" xfId="0" applyNumberFormat="1" applyFont="1" applyFill="1" applyBorder="1" applyAlignment="1">
      <alignment vertical="center"/>
    </xf>
    <xf numFmtId="43" fontId="55" fillId="0" borderId="0" xfId="0" applyNumberFormat="1" applyFont="1" applyFill="1" applyBorder="1" applyAlignment="1">
      <alignment horizontal="center" vertical="center"/>
    </xf>
    <xf numFmtId="43" fontId="55" fillId="0" borderId="0" xfId="0" applyNumberFormat="1" applyFont="1" applyFill="1" applyBorder="1" applyAlignment="1">
      <alignment vertical="center"/>
    </xf>
    <xf numFmtId="43" fontId="55" fillId="0" borderId="23" xfId="0" applyNumberFormat="1" applyFont="1" applyFill="1" applyBorder="1" applyAlignment="1">
      <alignment vertical="center"/>
    </xf>
    <xf numFmtId="0" fontId="56" fillId="0" borderId="24" xfId="0" applyFont="1" applyFill="1" applyBorder="1" applyAlignment="1">
      <alignment horizontal="center" vertical="center"/>
    </xf>
    <xf numFmtId="0" fontId="56" fillId="0" borderId="10" xfId="104" applyFont="1" applyFill="1" applyBorder="1" applyAlignment="1">
      <alignment horizontal="center" vertical="center" wrapText="1"/>
    </xf>
    <xf numFmtId="2" fontId="55" fillId="0" borderId="9" xfId="104" applyNumberFormat="1" applyFont="1" applyFill="1" applyBorder="1" applyAlignment="1">
      <alignment horizontal="center" vertical="center" wrapText="1"/>
    </xf>
    <xf numFmtId="1" fontId="55" fillId="0" borderId="9" xfId="104" applyNumberFormat="1" applyFont="1" applyFill="1" applyBorder="1" applyAlignment="1">
      <alignment horizontal="center" vertical="center" wrapText="1"/>
    </xf>
    <xf numFmtId="2" fontId="55" fillId="0" borderId="9" xfId="104" applyNumberFormat="1" applyFont="1" applyFill="1" applyBorder="1" applyAlignment="1">
      <alignment horizontal="justify" wrapText="1"/>
    </xf>
    <xf numFmtId="169" fontId="57" fillId="0" borderId="9" xfId="104" applyNumberFormat="1" applyFont="1" applyFill="1" applyBorder="1" applyAlignment="1">
      <alignment horizontal="right" vertical="center" wrapText="1"/>
    </xf>
    <xf numFmtId="0" fontId="55" fillId="36" borderId="10" xfId="104" applyFont="1" applyFill="1" applyBorder="1" applyAlignment="1">
      <alignment horizontal="justify" wrapText="1"/>
    </xf>
    <xf numFmtId="0" fontId="57" fillId="20" borderId="0" xfId="104" applyFont="1" applyFill="1" applyBorder="1" applyAlignment="1">
      <alignment horizontal="center" vertical="center" wrapText="1"/>
    </xf>
    <xf numFmtId="0" fontId="57" fillId="20" borderId="0" xfId="104" applyFont="1" applyFill="1" applyBorder="1" applyAlignment="1">
      <alignment horizontal="justify" wrapText="1"/>
    </xf>
    <xf numFmtId="169" fontId="57" fillId="20" borderId="0" xfId="104" applyNumberFormat="1" applyFont="1" applyFill="1" applyBorder="1" applyAlignment="1">
      <alignment horizontal="right" vertical="center" wrapText="1"/>
    </xf>
    <xf numFmtId="43" fontId="57" fillId="20" borderId="0" xfId="104" applyNumberFormat="1" applyFont="1" applyFill="1" applyBorder="1" applyAlignment="1">
      <alignment horizontal="right" vertical="center" wrapText="1"/>
    </xf>
    <xf numFmtId="43" fontId="57" fillId="20" borderId="23" xfId="104" applyNumberFormat="1" applyFont="1" applyFill="1" applyBorder="1" applyAlignment="1">
      <alignment horizontal="right" vertical="center" wrapText="1"/>
    </xf>
    <xf numFmtId="0" fontId="55" fillId="0" borderId="10" xfId="104" applyFont="1" applyFill="1" applyBorder="1" applyAlignment="1">
      <alignment horizontal="center" vertical="center" wrapText="1"/>
    </xf>
    <xf numFmtId="0" fontId="55" fillId="0" borderId="10" xfId="104" applyFont="1" applyFill="1" applyBorder="1" applyAlignment="1">
      <alignment horizontal="justify" wrapText="1"/>
    </xf>
    <xf numFmtId="0" fontId="55" fillId="0" borderId="0" xfId="104" applyFont="1" applyFill="1" applyBorder="1" applyAlignment="1">
      <alignment horizontal="center" vertical="center" wrapText="1"/>
    </xf>
    <xf numFmtId="0" fontId="55" fillId="0" borderId="30" xfId="3" applyFont="1" applyFill="1" applyBorder="1" applyAlignment="1" applyProtection="1">
      <alignment horizontal="justify" wrapText="1"/>
    </xf>
    <xf numFmtId="0" fontId="55" fillId="0" borderId="0" xfId="120" applyFont="1" applyFill="1"/>
    <xf numFmtId="0" fontId="56" fillId="0" borderId="0" xfId="0" applyFont="1" applyFill="1" applyAlignment="1">
      <alignment horizontal="center" vertical="center"/>
    </xf>
    <xf numFmtId="1" fontId="55" fillId="0" borderId="0" xfId="0" applyNumberFormat="1" applyFont="1" applyFill="1"/>
    <xf numFmtId="0" fontId="55" fillId="0" borderId="0" xfId="0" applyFont="1" applyFill="1" applyAlignment="1">
      <alignment horizontal="justify"/>
    </xf>
    <xf numFmtId="169" fontId="55" fillId="0" borderId="0" xfId="0" applyNumberFormat="1" applyFont="1" applyFill="1"/>
    <xf numFmtId="43" fontId="55" fillId="0" borderId="0" xfId="0" applyNumberFormat="1" applyFont="1" applyFill="1" applyAlignment="1">
      <alignment horizontal="right"/>
    </xf>
    <xf numFmtId="0" fontId="33" fillId="18" borderId="32" xfId="0" applyFont="1" applyFill="1" applyBorder="1" applyAlignment="1">
      <alignment horizontal="left" vertical="top"/>
    </xf>
    <xf numFmtId="0" fontId="33" fillId="18" borderId="33" xfId="0" applyFont="1" applyFill="1" applyBorder="1" applyAlignment="1">
      <alignment horizontal="left" vertical="top"/>
    </xf>
    <xf numFmtId="0" fontId="33" fillId="18" borderId="29" xfId="0" applyFont="1" applyFill="1" applyBorder="1" applyAlignment="1">
      <alignment horizontal="left" vertical="top"/>
    </xf>
    <xf numFmtId="0" fontId="33" fillId="18" borderId="30" xfId="0" applyFont="1" applyFill="1" applyBorder="1" applyAlignment="1">
      <alignment horizontal="left" vertical="top"/>
    </xf>
    <xf numFmtId="0" fontId="36" fillId="20" borderId="57" xfId="0" applyFont="1" applyFill="1" applyBorder="1" applyAlignment="1">
      <alignment horizontal="center"/>
    </xf>
    <xf numFmtId="0" fontId="36" fillId="20" borderId="56" xfId="0" applyFont="1" applyFill="1" applyBorder="1" applyAlignment="1">
      <alignment horizontal="center"/>
    </xf>
    <xf numFmtId="0" fontId="36" fillId="20" borderId="58" xfId="0" applyFont="1" applyFill="1" applyBorder="1" applyAlignment="1">
      <alignment horizontal="center"/>
    </xf>
    <xf numFmtId="4" fontId="33" fillId="34" borderId="54" xfId="0" applyNumberFormat="1" applyFont="1" applyFill="1" applyBorder="1" applyAlignment="1">
      <alignment horizontal="left" vertical="center" wrapText="1"/>
    </xf>
    <xf numFmtId="4" fontId="33" fillId="34" borderId="55" xfId="0" applyNumberFormat="1" applyFont="1" applyFill="1" applyBorder="1" applyAlignment="1">
      <alignment horizontal="left" vertical="center" wrapText="1"/>
    </xf>
    <xf numFmtId="4" fontId="33" fillId="34" borderId="12" xfId="0" applyNumberFormat="1" applyFont="1" applyFill="1" applyBorder="1" applyAlignment="1">
      <alignment horizontal="left" vertical="center" wrapText="1"/>
    </xf>
    <xf numFmtId="165" fontId="36" fillId="19" borderId="40" xfId="2" applyFont="1" applyFill="1" applyBorder="1" applyAlignment="1" applyProtection="1">
      <alignment horizontal="center" vertical="top"/>
    </xf>
    <xf numFmtId="165" fontId="36" fillId="19" borderId="42" xfId="2" applyFont="1" applyFill="1" applyBorder="1" applyAlignment="1" applyProtection="1">
      <alignment horizontal="center" vertical="top"/>
    </xf>
    <xf numFmtId="165" fontId="36" fillId="19" borderId="41" xfId="2" applyFont="1" applyFill="1" applyBorder="1" applyAlignment="1" applyProtection="1">
      <alignment horizontal="center" vertical="top"/>
    </xf>
    <xf numFmtId="4" fontId="34" fillId="33" borderId="11" xfId="4" applyNumberFormat="1" applyFont="1" applyFill="1" applyBorder="1" applyAlignment="1">
      <alignment horizontal="left" vertical="center" wrapText="1"/>
    </xf>
    <xf numFmtId="4" fontId="34" fillId="33" borderId="55" xfId="4" applyNumberFormat="1" applyFont="1" applyFill="1" applyBorder="1" applyAlignment="1">
      <alignment horizontal="left" vertical="center" wrapText="1"/>
    </xf>
    <xf numFmtId="4" fontId="34" fillId="33" borderId="12" xfId="4" applyNumberFormat="1" applyFont="1" applyFill="1" applyBorder="1" applyAlignment="1">
      <alignment horizontal="left" vertical="center" wrapText="1"/>
    </xf>
    <xf numFmtId="0" fontId="32" fillId="20" borderId="64" xfId="0" applyFont="1" applyFill="1" applyBorder="1" applyAlignment="1">
      <alignment horizontal="center" vertical="top"/>
    </xf>
    <xf numFmtId="0" fontId="32" fillId="20" borderId="55" xfId="0" applyFont="1" applyFill="1" applyBorder="1" applyAlignment="1">
      <alignment horizontal="center" vertical="top"/>
    </xf>
    <xf numFmtId="0" fontId="32" fillId="20" borderId="12" xfId="0" applyFont="1" applyFill="1" applyBorder="1" applyAlignment="1">
      <alignment horizontal="center" vertical="top"/>
    </xf>
    <xf numFmtId="0" fontId="33" fillId="31" borderId="36" xfId="98" applyFont="1" applyFill="1" applyBorder="1" applyAlignment="1">
      <alignment horizontal="right" vertical="top" wrapText="1"/>
    </xf>
    <xf numFmtId="0" fontId="33" fillId="0" borderId="11" xfId="0" applyFont="1" applyFill="1" applyBorder="1" applyAlignment="1">
      <alignment horizontal="center" vertical="top"/>
    </xf>
    <xf numFmtId="0" fontId="33" fillId="0" borderId="55" xfId="0" applyFont="1" applyFill="1" applyBorder="1" applyAlignment="1">
      <alignment horizontal="center" vertical="top"/>
    </xf>
    <xf numFmtId="0" fontId="33" fillId="0" borderId="12" xfId="0" applyFont="1" applyFill="1" applyBorder="1" applyAlignment="1">
      <alignment horizontal="center" vertical="top"/>
    </xf>
    <xf numFmtId="0" fontId="33" fillId="33" borderId="11" xfId="0" applyFont="1" applyFill="1" applyBorder="1" applyAlignment="1">
      <alignment horizontal="left" vertical="center" wrapText="1"/>
    </xf>
    <xf numFmtId="0" fontId="33" fillId="33" borderId="55" xfId="0" applyFont="1" applyFill="1" applyBorder="1" applyAlignment="1">
      <alignment horizontal="left" vertical="center" wrapText="1"/>
    </xf>
    <xf numFmtId="0" fontId="56" fillId="20" borderId="22" xfId="0" applyFont="1" applyFill="1" applyBorder="1" applyAlignment="1">
      <alignment horizontal="center" vertical="center"/>
    </xf>
    <xf numFmtId="0" fontId="56" fillId="20" borderId="0" xfId="0" applyFont="1" applyFill="1" applyBorder="1" applyAlignment="1">
      <alignment horizontal="center" vertical="center"/>
    </xf>
    <xf numFmtId="0" fontId="56" fillId="20" borderId="23" xfId="0" applyFont="1" applyFill="1" applyBorder="1" applyAlignment="1">
      <alignment horizontal="center" vertical="center"/>
    </xf>
    <xf numFmtId="4" fontId="58" fillId="0" borderId="22" xfId="104" applyNumberFormat="1" applyFont="1" applyFill="1" applyBorder="1" applyAlignment="1">
      <alignment horizontal="center" vertical="center" wrapText="1"/>
    </xf>
    <xf numFmtId="4" fontId="58" fillId="0" borderId="24" xfId="104" applyNumberFormat="1" applyFont="1" applyFill="1" applyBorder="1" applyAlignment="1">
      <alignment horizontal="center" vertical="center" wrapText="1"/>
    </xf>
    <xf numFmtId="43" fontId="58" fillId="0" borderId="22" xfId="104" applyNumberFormat="1" applyFont="1" applyFill="1" applyBorder="1" applyAlignment="1">
      <alignment horizontal="right" vertical="center" wrapText="1"/>
    </xf>
    <xf numFmtId="43" fontId="58" fillId="0" borderId="24" xfId="104" applyNumberFormat="1" applyFont="1" applyFill="1" applyBorder="1" applyAlignment="1">
      <alignment horizontal="right" vertical="center" wrapText="1"/>
    </xf>
    <xf numFmtId="43" fontId="58" fillId="0" borderId="22" xfId="104" applyNumberFormat="1" applyFont="1" applyFill="1" applyBorder="1" applyAlignment="1">
      <alignment horizontal="center" vertical="center" wrapText="1"/>
    </xf>
    <xf numFmtId="43" fontId="58" fillId="0" borderId="24" xfId="104" applyNumberFormat="1" applyFont="1" applyFill="1" applyBorder="1" applyAlignment="1">
      <alignment horizontal="center" vertical="center" wrapText="1"/>
    </xf>
    <xf numFmtId="43" fontId="58" fillId="0" borderId="13" xfId="104" applyNumberFormat="1" applyFont="1" applyFill="1" applyBorder="1" applyAlignment="1">
      <alignment horizontal="center" vertical="center" wrapText="1"/>
    </xf>
    <xf numFmtId="43" fontId="58" fillId="0" borderId="9" xfId="104" applyNumberFormat="1" applyFont="1" applyFill="1" applyBorder="1" applyAlignment="1">
      <alignment horizontal="center" vertical="center" wrapText="1"/>
    </xf>
    <xf numFmtId="1" fontId="58" fillId="0" borderId="22" xfId="104" applyNumberFormat="1" applyFont="1" applyFill="1" applyBorder="1" applyAlignment="1">
      <alignment horizontal="center" vertical="center" wrapText="1"/>
    </xf>
    <xf numFmtId="1" fontId="58" fillId="0" borderId="24" xfId="104" applyNumberFormat="1" applyFont="1" applyFill="1" applyBorder="1" applyAlignment="1">
      <alignment horizontal="center" vertical="center" wrapText="1"/>
    </xf>
    <xf numFmtId="169" fontId="58" fillId="0" borderId="22" xfId="104" applyNumberFormat="1" applyFont="1" applyFill="1" applyBorder="1" applyAlignment="1">
      <alignment horizontal="center" vertical="center" wrapText="1"/>
    </xf>
    <xf numFmtId="169" fontId="58" fillId="0" borderId="24" xfId="104" applyNumberFormat="1" applyFont="1" applyFill="1" applyBorder="1" applyAlignment="1">
      <alignment horizontal="center" vertical="center" wrapText="1"/>
    </xf>
    <xf numFmtId="0" fontId="55" fillId="20" borderId="36" xfId="0" applyFont="1" applyFill="1" applyBorder="1" applyAlignment="1">
      <alignment horizontal="right"/>
    </xf>
    <xf numFmtId="0" fontId="55" fillId="20" borderId="60" xfId="0" applyFont="1" applyFill="1" applyBorder="1" applyAlignment="1">
      <alignment horizontal="right"/>
    </xf>
    <xf numFmtId="0" fontId="39" fillId="0" borderId="36" xfId="120" applyFont="1" applyBorder="1" applyAlignment="1" applyProtection="1">
      <alignment horizontal="center"/>
    </xf>
    <xf numFmtId="0" fontId="41" fillId="20" borderId="0" xfId="120" applyFont="1" applyFill="1" applyBorder="1" applyAlignment="1" applyProtection="1">
      <alignment horizontal="center"/>
    </xf>
    <xf numFmtId="0" fontId="41" fillId="0" borderId="40" xfId="120" applyFont="1" applyBorder="1" applyAlignment="1" applyProtection="1">
      <alignment horizontal="center"/>
    </xf>
    <xf numFmtId="0" fontId="41" fillId="0" borderId="42" xfId="120" applyFont="1" applyBorder="1" applyAlignment="1" applyProtection="1">
      <alignment horizontal="center"/>
    </xf>
    <xf numFmtId="0" fontId="41" fillId="0" borderId="41" xfId="120" applyFont="1" applyBorder="1" applyAlignment="1" applyProtection="1">
      <alignment horizontal="center"/>
    </xf>
    <xf numFmtId="0" fontId="39" fillId="0" borderId="19" xfId="120" applyFont="1" applyBorder="1" applyAlignment="1" applyProtection="1">
      <alignment horizontal="left" wrapText="1"/>
    </xf>
    <xf numFmtId="0" fontId="39" fillId="0" borderId="0" xfId="120" applyFont="1" applyBorder="1" applyAlignment="1" applyProtection="1">
      <alignment horizontal="left" wrapText="1"/>
    </xf>
    <xf numFmtId="0" fontId="39" fillId="0" borderId="20" xfId="120" applyFont="1" applyBorder="1" applyAlignment="1" applyProtection="1">
      <alignment horizontal="left" wrapText="1"/>
    </xf>
    <xf numFmtId="10" fontId="48" fillId="20" borderId="0" xfId="122" applyNumberFormat="1" applyFont="1" applyFill="1" applyBorder="1" applyAlignment="1" applyProtection="1">
      <alignment horizontal="center"/>
    </xf>
    <xf numFmtId="0" fontId="50" fillId="20" borderId="80" xfId="120" applyFont="1" applyFill="1" applyBorder="1" applyAlignment="1" applyProtection="1">
      <alignment horizontal="center"/>
    </xf>
    <xf numFmtId="0" fontId="50" fillId="20" borderId="76" xfId="120" applyFont="1" applyFill="1" applyBorder="1" applyAlignment="1" applyProtection="1">
      <alignment horizontal="center"/>
    </xf>
    <xf numFmtId="0" fontId="50" fillId="20" borderId="81" xfId="120" applyFont="1" applyFill="1" applyBorder="1" applyAlignment="1" applyProtection="1">
      <alignment horizontal="center"/>
    </xf>
    <xf numFmtId="0" fontId="49" fillId="20" borderId="0" xfId="120" applyFont="1" applyFill="1" applyBorder="1" applyAlignment="1" applyProtection="1">
      <alignment vertical="center" wrapText="1"/>
    </xf>
    <xf numFmtId="10" fontId="42" fillId="20" borderId="82" xfId="122" applyNumberFormat="1" applyFont="1" applyFill="1" applyBorder="1" applyAlignment="1" applyProtection="1">
      <alignment horizontal="center" vertical="center"/>
    </xf>
    <xf numFmtId="10" fontId="42" fillId="20" borderId="83" xfId="122" applyNumberFormat="1" applyFont="1" applyFill="1" applyBorder="1" applyAlignment="1" applyProtection="1">
      <alignment horizontal="center" vertical="center"/>
    </xf>
    <xf numFmtId="0" fontId="41" fillId="0" borderId="0" xfId="120" applyFont="1" applyAlignment="1" applyProtection="1">
      <alignment horizontal="left" vertical="center" wrapText="1"/>
    </xf>
    <xf numFmtId="0" fontId="40" fillId="20" borderId="76" xfId="120" applyFont="1" applyFill="1" applyBorder="1" applyAlignment="1" applyProtection="1">
      <alignment horizontal="center" vertical="center"/>
    </xf>
    <xf numFmtId="0" fontId="41" fillId="20" borderId="0" xfId="120" applyFont="1" applyFill="1" applyBorder="1" applyAlignment="1" applyProtection="1">
      <alignment horizontal="center" vertical="center"/>
    </xf>
    <xf numFmtId="174" fontId="44" fillId="38" borderId="11" xfId="121" applyNumberFormat="1" applyFont="1" applyFill="1" applyBorder="1" applyAlignment="1" applyProtection="1">
      <alignment horizontal="left" vertical="center" wrapText="1"/>
      <protection locked="0"/>
    </xf>
    <xf numFmtId="174" fontId="44" fillId="38" borderId="55" xfId="121" applyNumberFormat="1" applyFont="1" applyFill="1" applyBorder="1" applyAlignment="1" applyProtection="1">
      <alignment horizontal="left" vertical="center" wrapText="1"/>
      <protection locked="0"/>
    </xf>
    <xf numFmtId="174" fontId="44" fillId="38" borderId="12" xfId="121" applyNumberFormat="1" applyFont="1" applyFill="1" applyBorder="1" applyAlignment="1" applyProtection="1">
      <alignment horizontal="left" vertical="center" wrapText="1"/>
      <protection locked="0"/>
    </xf>
    <xf numFmtId="0" fontId="39" fillId="20" borderId="62" xfId="120" applyFont="1" applyFill="1" applyBorder="1" applyAlignment="1" applyProtection="1">
      <alignment horizontal="left" vertical="top" wrapText="1"/>
    </xf>
    <xf numFmtId="0" fontId="39" fillId="20" borderId="78" xfId="120" applyFont="1" applyFill="1" applyBorder="1" applyAlignment="1" applyProtection="1">
      <alignment horizontal="left" vertical="top" wrapText="1"/>
    </xf>
    <xf numFmtId="0" fontId="39" fillId="20" borderId="79" xfId="120" applyFont="1" applyFill="1" applyBorder="1" applyAlignment="1" applyProtection="1">
      <alignment horizontal="left" vertical="top" wrapText="1"/>
    </xf>
    <xf numFmtId="10" fontId="44" fillId="20" borderId="10" xfId="122" applyNumberFormat="1" applyFont="1" applyFill="1" applyBorder="1" applyAlignment="1" applyProtection="1">
      <alignment horizontal="center" vertical="center" wrapText="1"/>
      <protection locked="0"/>
    </xf>
    <xf numFmtId="0" fontId="41" fillId="20" borderId="0" xfId="120" applyFont="1" applyFill="1" applyBorder="1" applyAlignment="1" applyProtection="1">
      <alignment horizontal="center" vertical="center" wrapText="1"/>
    </xf>
    <xf numFmtId="0" fontId="39" fillId="20" borderId="0" xfId="120" applyFont="1" applyFill="1" applyBorder="1" applyAlignment="1" applyProtection="1">
      <alignment horizontal="left" vertical="center" wrapText="1"/>
    </xf>
    <xf numFmtId="0" fontId="41" fillId="20" borderId="36" xfId="120" applyFont="1" applyFill="1" applyBorder="1" applyAlignment="1" applyProtection="1">
      <alignment horizontal="center" vertical="center"/>
    </xf>
  </cellXfs>
  <cellStyles count="123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20% - Ênfase1 2" xfId="18"/>
    <cellStyle name="20% - Ênfase2 2" xfId="19"/>
    <cellStyle name="20% - Ênfase3 2" xfId="20"/>
    <cellStyle name="20% - Ênfase4 2" xfId="21"/>
    <cellStyle name="20% - Ênfase5 2" xfId="22"/>
    <cellStyle name="20% - Ênfase6 2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40% - Ênfase1 2" xfId="30"/>
    <cellStyle name="40% - Ênfase2 2" xfId="31"/>
    <cellStyle name="40% - Ênfase3 2" xfId="32"/>
    <cellStyle name="40% - Ênfase4 2" xfId="33"/>
    <cellStyle name="40% - Ênfase5 2" xfId="34"/>
    <cellStyle name="40% - Ênfase6 2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60% - Ênfase1 2" xfId="42"/>
    <cellStyle name="60% - Ênfase2 2" xfId="43"/>
    <cellStyle name="60% - Ênfase3 2" xfId="44"/>
    <cellStyle name="60% - Ênfase4 2" xfId="45"/>
    <cellStyle name="60% - Ênfase5 2" xfId="46"/>
    <cellStyle name="60% - Ênfase6 2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Bom 2" xfId="55"/>
    <cellStyle name="Calculation" xfId="56"/>
    <cellStyle name="Calculation 2" xfId="108"/>
    <cellStyle name="Cálculo 2" xfId="57"/>
    <cellStyle name="Cálculo 2 2" xfId="109"/>
    <cellStyle name="Célula de Verificação 2" xfId="58"/>
    <cellStyle name="Célula Vinculada 2" xfId="59"/>
    <cellStyle name="Check Cell" xfId="60"/>
    <cellStyle name="Ênfase1 2" xfId="61"/>
    <cellStyle name="Ênfase2 2" xfId="62"/>
    <cellStyle name="Ênfase3 2" xfId="63"/>
    <cellStyle name="Ênfase4 2" xfId="64"/>
    <cellStyle name="Ênfase5 2" xfId="65"/>
    <cellStyle name="Ênfase6 2" xfId="66"/>
    <cellStyle name="Entrada 2" xfId="67"/>
    <cellStyle name="Entrada 2 2" xfId="110"/>
    <cellStyle name="Excel Built-in Comma" xfId="1"/>
    <cellStyle name="Excel Built-in Normal" xfId="2"/>
    <cellStyle name="Explanatory Text" xfId="68"/>
    <cellStyle name="Good" xfId="69"/>
    <cellStyle name="Heading 1" xfId="70"/>
    <cellStyle name="Heading 2" xfId="71"/>
    <cellStyle name="Heading 3" xfId="72"/>
    <cellStyle name="Heading 4" xfId="73"/>
    <cellStyle name="Incorreto 2" xfId="74"/>
    <cellStyle name="Input" xfId="75"/>
    <cellStyle name="Input 2" xfId="111"/>
    <cellStyle name="Linked Cell" xfId="76"/>
    <cellStyle name="Neutra 2" xfId="77"/>
    <cellStyle name="Neutral" xfId="78"/>
    <cellStyle name="Normal" xfId="0" builtinId="0"/>
    <cellStyle name="Normal 10" xfId="120"/>
    <cellStyle name="Normal 2" xfId="3"/>
    <cellStyle name="Normal 3" xfId="11"/>
    <cellStyle name="Normal 4" xfId="94"/>
    <cellStyle name="Normal 5" xfId="96"/>
    <cellStyle name="Normal 6" xfId="7"/>
    <cellStyle name="Normal 7" xfId="98"/>
    <cellStyle name="Normal 8" xfId="101"/>
    <cellStyle name="Normal 9" xfId="105"/>
    <cellStyle name="Normal_Pesquisa no referencial 10 de maio de 2013" xfId="4"/>
    <cellStyle name="Normal_Pesquisa no referencial 10 de maio de 2013 2" xfId="104"/>
    <cellStyle name="Nota 2" xfId="79"/>
    <cellStyle name="Nota 2 2" xfId="112"/>
    <cellStyle name="Nota 3" xfId="93"/>
    <cellStyle name="Nota 3 2" xfId="117"/>
    <cellStyle name="Nota 4" xfId="95"/>
    <cellStyle name="Nota 4 2" xfId="118"/>
    <cellStyle name="Nota 5" xfId="97"/>
    <cellStyle name="Nota 5 2" xfId="119"/>
    <cellStyle name="Note" xfId="80"/>
    <cellStyle name="Note 2" xfId="113"/>
    <cellStyle name="Output" xfId="81"/>
    <cellStyle name="Output 2" xfId="114"/>
    <cellStyle name="Porcentagem" xfId="5" builtinId="5"/>
    <cellStyle name="Porcentagem 2" xfId="9"/>
    <cellStyle name="Porcentagem 3" xfId="100"/>
    <cellStyle name="Porcentagem 4" xfId="103"/>
    <cellStyle name="Porcentagem 5" xfId="107"/>
    <cellStyle name="Porcentagem 6" xfId="122"/>
    <cellStyle name="Saída 2" xfId="82"/>
    <cellStyle name="Saída 2 2" xfId="115"/>
    <cellStyle name="Separador de milhares 5" xfId="10"/>
    <cellStyle name="Texto de Aviso 2" xfId="83"/>
    <cellStyle name="Texto Explicativo 2" xfId="84"/>
    <cellStyle name="Title" xfId="85"/>
    <cellStyle name="Título 1 2" xfId="87"/>
    <cellStyle name="Título 2 2" xfId="88"/>
    <cellStyle name="Título 3 2" xfId="89"/>
    <cellStyle name="Título 4 2" xfId="90"/>
    <cellStyle name="Título 5" xfId="86"/>
    <cellStyle name="Total 2" xfId="91"/>
    <cellStyle name="Total 2 2" xfId="116"/>
    <cellStyle name="Vírgula" xfId="6" builtinId="3"/>
    <cellStyle name="Vírgula 2" xfId="8"/>
    <cellStyle name="Vírgula 3" xfId="99"/>
    <cellStyle name="Vírgula 4" xfId="102"/>
    <cellStyle name="Vírgula 5" xfId="106"/>
    <cellStyle name="Vírgula 6" xfId="121"/>
    <cellStyle name="Warning Text" xfId="92"/>
  </cellStyles>
  <dxfs count="226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57"/>
      </font>
      <fill>
        <patternFill patternType="solid">
          <bgColor indexed="26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0</xdr:colOff>
          <xdr:row>243</xdr:row>
          <xdr:rowOff>0</xdr:rowOff>
        </xdr:from>
        <xdr:to>
          <xdr:col>79</xdr:col>
          <xdr:colOff>0</xdr:colOff>
          <xdr:row>244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44</xdr:row>
          <xdr:rowOff>0</xdr:rowOff>
        </xdr:from>
        <xdr:to>
          <xdr:col>5</xdr:col>
          <xdr:colOff>714375</xdr:colOff>
          <xdr:row>47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70" zoomScaleNormal="70" workbookViewId="0">
      <selection activeCell="A24" sqref="A24:C24"/>
    </sheetView>
  </sheetViews>
  <sheetFormatPr defaultColWidth="9.140625" defaultRowHeight="16.5"/>
  <cols>
    <col min="1" max="1" width="6.5703125" style="2" customWidth="1"/>
    <col min="2" max="2" width="25.140625" style="2" customWidth="1"/>
    <col min="3" max="3" width="11.5703125" style="2" bestFit="1" customWidth="1"/>
    <col min="4" max="4" width="14.5703125" style="2" bestFit="1" customWidth="1"/>
    <col min="5" max="5" width="15.28515625" style="2" bestFit="1" customWidth="1"/>
    <col min="6" max="7" width="16" style="2" bestFit="1" customWidth="1"/>
    <col min="8" max="8" width="20.85546875" style="2" bestFit="1" customWidth="1"/>
    <col min="9" max="16384" width="9.140625" style="2"/>
  </cols>
  <sheetData>
    <row r="1" spans="1:8" ht="20.25">
      <c r="A1" s="371" t="s">
        <v>11</v>
      </c>
      <c r="B1" s="372"/>
      <c r="C1" s="372"/>
      <c r="D1" s="372"/>
      <c r="E1" s="372"/>
      <c r="F1" s="372"/>
      <c r="G1" s="372"/>
      <c r="H1" s="373"/>
    </row>
    <row r="2" spans="1:8">
      <c r="A2" s="52" t="str">
        <f>COMPOSIÇÃO!A1</f>
        <v>OBRA: IMPLANTAÇÃO, MELHORIA E MODERNIZAÇÃO DO SISTEMA DE ILUMINAÇÃO PÚBLICA COM LUMINÁRIAS LED</v>
      </c>
      <c r="B2" s="1"/>
      <c r="C2" s="1"/>
      <c r="D2" s="1"/>
      <c r="E2" s="1"/>
      <c r="F2" s="1"/>
      <c r="G2" s="1"/>
      <c r="H2" s="53"/>
    </row>
    <row r="3" spans="1:8" ht="15" customHeight="1">
      <c r="A3" s="52" t="str">
        <f>COMPOSIÇÃO!A2</f>
        <v>LOCAL: AV PEDRO BALDUINO</v>
      </c>
      <c r="B3" s="3"/>
      <c r="C3" s="3"/>
      <c r="D3" s="3"/>
      <c r="E3" s="3"/>
      <c r="F3" s="3"/>
      <c r="G3" s="3"/>
      <c r="H3" s="54"/>
    </row>
    <row r="4" spans="1:8" ht="15" customHeight="1">
      <c r="A4" s="48" t="str">
        <f>COMPOSIÇÃO!A3</f>
        <v>CIDADE : MUNICÍPIO SEDE DE CORGUINHO - MS</v>
      </c>
      <c r="B4" s="3"/>
      <c r="C4" s="3"/>
      <c r="D4" s="3"/>
      <c r="E4" s="3"/>
      <c r="F4" s="3"/>
      <c r="G4" s="3"/>
      <c r="H4" s="54"/>
    </row>
    <row r="5" spans="1:8" ht="8.1" customHeight="1">
      <c r="A5" s="55"/>
      <c r="B5" s="4"/>
      <c r="C5" s="4"/>
      <c r="D5" s="4"/>
      <c r="E5" s="4"/>
      <c r="F5" s="4"/>
      <c r="G5" s="4"/>
      <c r="H5" s="56"/>
    </row>
    <row r="6" spans="1:8" ht="13.5" customHeight="1" thickBot="1">
      <c r="A6" s="57"/>
      <c r="B6" s="5"/>
      <c r="C6" s="5"/>
      <c r="D6" s="5"/>
      <c r="E6" s="5"/>
      <c r="F6" s="5"/>
      <c r="G6" s="5"/>
      <c r="H6" s="58"/>
    </row>
    <row r="7" spans="1:8">
      <c r="A7" s="6" t="s">
        <v>4</v>
      </c>
      <c r="B7" s="6" t="s">
        <v>46</v>
      </c>
      <c r="C7" s="7" t="s">
        <v>30</v>
      </c>
      <c r="D7" s="7" t="s">
        <v>138</v>
      </c>
      <c r="E7" s="7" t="s">
        <v>139</v>
      </c>
      <c r="F7" s="7" t="s">
        <v>140</v>
      </c>
      <c r="G7" s="7" t="s">
        <v>141</v>
      </c>
      <c r="H7" s="7" t="s">
        <v>3</v>
      </c>
    </row>
    <row r="8" spans="1:8" ht="8.1" customHeight="1">
      <c r="A8" s="8"/>
      <c r="B8" s="9"/>
      <c r="C8" s="10"/>
      <c r="D8" s="10"/>
      <c r="E8" s="10"/>
      <c r="F8" s="70"/>
      <c r="G8" s="70"/>
      <c r="H8" s="11"/>
    </row>
    <row r="9" spans="1:8">
      <c r="A9" s="69" t="s">
        <v>66</v>
      </c>
      <c r="B9" s="79" t="str">
        <f>'PLANILHA ORÇAMENTÁRIA'!C8</f>
        <v>SERVIÇOS PRELIMINARES</v>
      </c>
      <c r="C9" s="49"/>
      <c r="D9" s="49"/>
      <c r="E9" s="49"/>
      <c r="F9" s="49"/>
      <c r="G9" s="49"/>
      <c r="H9" s="50"/>
    </row>
    <row r="10" spans="1:8">
      <c r="A10" s="12">
        <v>1</v>
      </c>
      <c r="B10" s="13" t="str">
        <f>'PLANILHA ORÇAMENTÁRIA'!D9</f>
        <v>ADMINISTRAÇÃO</v>
      </c>
      <c r="C10" s="62">
        <f>H10/$H$23</f>
        <v>1.8336584153148181E-2</v>
      </c>
      <c r="D10" s="63">
        <f>$H$10*D12</f>
        <v>5312.79</v>
      </c>
      <c r="E10" s="63">
        <f>$H$10*E12</f>
        <v>0</v>
      </c>
      <c r="F10" s="63">
        <f>$H$10*F12</f>
        <v>0</v>
      </c>
      <c r="G10" s="63">
        <f>$H$10*G12</f>
        <v>0</v>
      </c>
      <c r="H10" s="61">
        <f>'PLANILHA ORÇAMENTÁRIA'!K13</f>
        <v>5312.79</v>
      </c>
    </row>
    <row r="11" spans="1:8" ht="8.1" customHeight="1">
      <c r="A11" s="14"/>
      <c r="B11" s="15"/>
      <c r="C11" s="64"/>
      <c r="D11" s="65"/>
      <c r="E11" s="65"/>
      <c r="F11" s="65"/>
      <c r="G11" s="65"/>
      <c r="H11" s="16"/>
    </row>
    <row r="12" spans="1:8">
      <c r="A12" s="17"/>
      <c r="B12" s="18" t="s">
        <v>2</v>
      </c>
      <c r="C12" s="66"/>
      <c r="D12" s="67">
        <v>1</v>
      </c>
      <c r="E12" s="67">
        <v>0</v>
      </c>
      <c r="F12" s="67">
        <v>0</v>
      </c>
      <c r="G12" s="67">
        <v>0</v>
      </c>
      <c r="H12" s="20"/>
    </row>
    <row r="13" spans="1:8" ht="42" customHeight="1">
      <c r="A13" s="69" t="s">
        <v>67</v>
      </c>
      <c r="B13" s="374" t="str">
        <f>'PLANILHA ORÇAMENTÁRIA'!C14</f>
        <v xml:space="preserve">INSTALAÇÃO DE POSTES E LUMINÁRIAS  E ACESSÓRIOS DE LED 150W EM POSTES DA REDE DE ILUMINAÇÃO PÚBLICA - AV PEDRO BALDUINO </v>
      </c>
      <c r="C13" s="375"/>
      <c r="D13" s="375"/>
      <c r="E13" s="375"/>
      <c r="F13" s="375"/>
      <c r="G13" s="375"/>
      <c r="H13" s="376"/>
    </row>
    <row r="14" spans="1:8">
      <c r="A14" s="12">
        <v>2</v>
      </c>
      <c r="B14" s="13" t="str">
        <f>'PLANILHA ORÇAMENTÁRIA'!D15</f>
        <v>SERVIÇO DE TRANSPORTE</v>
      </c>
      <c r="C14" s="62">
        <f>H14/$H$23</f>
        <v>5.6031126417090356E-2</v>
      </c>
      <c r="D14" s="63">
        <f>$H$14*D16</f>
        <v>4058.5749999999998</v>
      </c>
      <c r="E14" s="63">
        <f>$H$14*E16</f>
        <v>4058.5749999999998</v>
      </c>
      <c r="F14" s="63">
        <f>$H$14*F16</f>
        <v>4058.5749999999998</v>
      </c>
      <c r="G14" s="63">
        <f>$H$14*G16</f>
        <v>4058.5749999999998</v>
      </c>
      <c r="H14" s="60">
        <f>'PLANILHA ORÇAMENTÁRIA'!K17</f>
        <v>16234.3</v>
      </c>
    </row>
    <row r="15" spans="1:8" ht="7.9" customHeight="1">
      <c r="A15" s="14"/>
      <c r="B15" s="15"/>
      <c r="C15" s="64"/>
      <c r="D15" s="65"/>
      <c r="E15" s="65"/>
      <c r="F15" s="71"/>
      <c r="G15" s="71"/>
      <c r="H15" s="16"/>
    </row>
    <row r="16" spans="1:8">
      <c r="A16" s="21"/>
      <c r="B16" s="22" t="s">
        <v>2</v>
      </c>
      <c r="C16" s="68"/>
      <c r="D16" s="67">
        <v>0.25</v>
      </c>
      <c r="E16" s="67">
        <v>0.25</v>
      </c>
      <c r="F16" s="67">
        <v>0.25</v>
      </c>
      <c r="G16" s="67">
        <v>0.25</v>
      </c>
      <c r="H16" s="20"/>
    </row>
    <row r="17" spans="1:8">
      <c r="A17" s="12">
        <v>3</v>
      </c>
      <c r="B17" s="13" t="str">
        <f>'PLANILHA ORÇAMENTÁRIA'!D18</f>
        <v>SERVIÇO EM TERRA</v>
      </c>
      <c r="C17" s="62">
        <f>H17/$H$23</f>
        <v>5.6653449055224778E-2</v>
      </c>
      <c r="D17" s="63">
        <f>$H$17*D19</f>
        <v>4103.6525000000001</v>
      </c>
      <c r="E17" s="63">
        <f>$H$17*E19</f>
        <v>4103.6525000000001</v>
      </c>
      <c r="F17" s="63">
        <f>$H$17*F19</f>
        <v>4103.6525000000001</v>
      </c>
      <c r="G17" s="63">
        <f>$H$17*G19</f>
        <v>4103.6525000000001</v>
      </c>
      <c r="H17" s="60">
        <f>'PLANILHA ORÇAMENTÁRIA'!K23</f>
        <v>16414.61</v>
      </c>
    </row>
    <row r="18" spans="1:8" ht="7.9" customHeight="1">
      <c r="A18" s="14"/>
      <c r="B18" s="15"/>
      <c r="C18" s="64"/>
      <c r="D18" s="65"/>
      <c r="E18" s="65"/>
      <c r="F18" s="71"/>
      <c r="G18" s="71"/>
      <c r="H18" s="16"/>
    </row>
    <row r="19" spans="1:8">
      <c r="A19" s="21"/>
      <c r="B19" s="22" t="s">
        <v>2</v>
      </c>
      <c r="C19" s="68"/>
      <c r="D19" s="67">
        <v>0.25</v>
      </c>
      <c r="E19" s="67">
        <v>0.25</v>
      </c>
      <c r="F19" s="67">
        <v>0.25</v>
      </c>
      <c r="G19" s="67">
        <v>0.25</v>
      </c>
      <c r="H19" s="20"/>
    </row>
    <row r="20" spans="1:8">
      <c r="A20" s="12">
        <v>4</v>
      </c>
      <c r="B20" s="13" t="str">
        <f>'PLANILHA ORÇAMENTÁRIA'!D25</f>
        <v>INSTALAÇÃO ELÉTRICA</v>
      </c>
      <c r="C20" s="62">
        <f>H20/$H$23</f>
        <v>0.86897884037453688</v>
      </c>
      <c r="D20" s="63">
        <f>$H$20*D22</f>
        <v>62943.867500000008</v>
      </c>
      <c r="E20" s="63">
        <f>$H$20*E22</f>
        <v>62943.867500000008</v>
      </c>
      <c r="F20" s="63">
        <f>$H$20*F22</f>
        <v>62943.867500000008</v>
      </c>
      <c r="G20" s="63">
        <f>$H$20*G22</f>
        <v>62943.867500000008</v>
      </c>
      <c r="H20" s="60">
        <f>'PLANILHA ORÇAMENTÁRIA'!K41</f>
        <v>251775.47000000003</v>
      </c>
    </row>
    <row r="21" spans="1:8" ht="7.9" customHeight="1">
      <c r="A21" s="14"/>
      <c r="B21" s="15"/>
      <c r="C21" s="64"/>
      <c r="D21" s="65"/>
      <c r="E21" s="65"/>
      <c r="F21" s="71"/>
      <c r="G21" s="71"/>
      <c r="H21" s="16"/>
    </row>
    <row r="22" spans="1:8">
      <c r="A22" s="21"/>
      <c r="B22" s="22" t="s">
        <v>2</v>
      </c>
      <c r="C22" s="68"/>
      <c r="D22" s="67">
        <v>0.25</v>
      </c>
      <c r="E22" s="67">
        <v>0.25</v>
      </c>
      <c r="F22" s="67">
        <v>0.25</v>
      </c>
      <c r="G22" s="67">
        <v>0.25</v>
      </c>
      <c r="H22" s="20"/>
    </row>
    <row r="23" spans="1:8">
      <c r="A23" s="23" t="s">
        <v>54</v>
      </c>
      <c r="B23" s="24"/>
      <c r="C23" s="25">
        <f>C10+C14+C20+C17</f>
        <v>1.0000000000000002</v>
      </c>
      <c r="D23" s="26">
        <f>D10+D14+D20+D17</f>
        <v>76418.885000000009</v>
      </c>
      <c r="E23" s="26">
        <f>E10+E14+E20+E17</f>
        <v>71106.095000000001</v>
      </c>
      <c r="F23" s="26">
        <f t="shared" ref="F23" si="0">F10+F14+F20+F17</f>
        <v>71106.095000000001</v>
      </c>
      <c r="G23" s="26">
        <f>G10+G14+G20+G17</f>
        <v>71106.095000000001</v>
      </c>
      <c r="H23" s="59">
        <f>H20+H14+H10+H17</f>
        <v>289737.17</v>
      </c>
    </row>
    <row r="24" spans="1:8" ht="18.75" customHeight="1">
      <c r="A24" s="369" t="s">
        <v>12</v>
      </c>
      <c r="B24" s="370"/>
      <c r="C24" s="370"/>
      <c r="D24" s="27">
        <f>D23</f>
        <v>76418.885000000009</v>
      </c>
      <c r="E24" s="27">
        <f t="shared" ref="E24:G24" si="1">D24+E23</f>
        <v>147524.98000000001</v>
      </c>
      <c r="F24" s="27">
        <f t="shared" si="1"/>
        <v>218631.07500000001</v>
      </c>
      <c r="G24" s="27">
        <f t="shared" si="1"/>
        <v>289737.17000000004</v>
      </c>
      <c r="H24" s="28"/>
    </row>
    <row r="25" spans="1:8" ht="17.25" customHeight="1">
      <c r="A25" s="369" t="s">
        <v>13</v>
      </c>
      <c r="B25" s="370"/>
      <c r="C25" s="370"/>
      <c r="D25" s="29">
        <f>D23/$H$23</f>
        <v>0.26375243811486115</v>
      </c>
      <c r="E25" s="29">
        <f>E23/$H$23</f>
        <v>0.24541585396171298</v>
      </c>
      <c r="F25" s="29">
        <f>F23/$H$23</f>
        <v>0.24541585396171298</v>
      </c>
      <c r="G25" s="29">
        <f>G23/$H$23</f>
        <v>0.24541585396171298</v>
      </c>
      <c r="H25" s="28"/>
    </row>
    <row r="26" spans="1:8" ht="16.5" customHeight="1">
      <c r="A26" s="367" t="s">
        <v>14</v>
      </c>
      <c r="B26" s="368"/>
      <c r="C26" s="368"/>
      <c r="D26" s="19">
        <f>D25</f>
        <v>0.26375243811486115</v>
      </c>
      <c r="E26" s="19">
        <f t="shared" ref="E26:G26" si="2">D26+E25</f>
        <v>0.5091682920765741</v>
      </c>
      <c r="F26" s="19">
        <f t="shared" si="2"/>
        <v>0.75458414603828705</v>
      </c>
      <c r="G26" s="19">
        <f t="shared" si="2"/>
        <v>1</v>
      </c>
      <c r="H26" s="30"/>
    </row>
  </sheetData>
  <mergeCells count="5">
    <mergeCell ref="A26:C26"/>
    <mergeCell ref="A24:C24"/>
    <mergeCell ref="A25:C25"/>
    <mergeCell ref="A1:H1"/>
    <mergeCell ref="B13:H13"/>
  </mergeCells>
  <printOptions horizontalCentered="1" gridLines="1"/>
  <pageMargins left="0.39" right="0.36" top="0.56000000000000005" bottom="0.78740157480314965" header="0.31496062992125984" footer="0.31496062992125984"/>
  <pageSetup paperSize="9" scale="50" fitToHeight="0" orientation="landscape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80" zoomScaleNormal="100" zoomScaleSheetLayoutView="80" workbookViewId="0">
      <selection activeCell="F30" sqref="F30"/>
    </sheetView>
  </sheetViews>
  <sheetFormatPr defaultColWidth="11.42578125" defaultRowHeight="16.5"/>
  <cols>
    <col min="1" max="1" width="6.7109375" style="89" customWidth="1"/>
    <col min="2" max="2" width="6.5703125" style="89" customWidth="1"/>
    <col min="3" max="3" width="16" style="87" customWidth="1"/>
    <col min="4" max="4" width="88.5703125" style="31" customWidth="1"/>
    <col min="5" max="5" width="5.42578125" style="44" customWidth="1"/>
    <col min="6" max="6" width="11.5703125" style="46" bestFit="1" customWidth="1"/>
    <col min="7" max="7" width="12.42578125" style="47" bestFit="1" customWidth="1"/>
    <col min="8" max="8" width="9.7109375" style="47" bestFit="1" customWidth="1"/>
    <col min="9" max="9" width="15.42578125" style="47" bestFit="1" customWidth="1"/>
    <col min="10" max="10" width="11.5703125" style="47" bestFit="1" customWidth="1"/>
    <col min="11" max="11" width="18.7109375" style="47" customWidth="1"/>
    <col min="12" max="16384" width="11.42578125" style="31"/>
  </cols>
  <sheetData>
    <row r="1" spans="1:11" ht="20.25">
      <c r="A1" s="377" t="s">
        <v>52</v>
      </c>
      <c r="B1" s="378"/>
      <c r="C1" s="378"/>
      <c r="D1" s="378"/>
      <c r="E1" s="378"/>
      <c r="F1" s="378"/>
      <c r="G1" s="378"/>
      <c r="H1" s="378"/>
      <c r="I1" s="378"/>
      <c r="J1" s="378"/>
      <c r="K1" s="379"/>
    </row>
    <row r="2" spans="1:11">
      <c r="A2" s="32" t="str">
        <f>COMPOSIÇÃO!A1</f>
        <v>OBRA: IMPLANTAÇÃO, MELHORIA E MODERNIZAÇÃO DO SISTEMA DE ILUMINAÇÃO PÚBLICA COM LUMINÁRIAS LED</v>
      </c>
      <c r="B2" s="33"/>
      <c r="C2" s="90"/>
      <c r="D2" s="33"/>
      <c r="E2" s="33"/>
      <c r="F2" s="33"/>
      <c r="G2" s="33"/>
      <c r="H2" s="33"/>
      <c r="I2" s="33"/>
      <c r="J2" s="33"/>
      <c r="K2" s="72"/>
    </row>
    <row r="3" spans="1:11">
      <c r="A3" s="32" t="str">
        <f>COMPOSIÇÃO!A2</f>
        <v>LOCAL: AV PEDRO BALDUINO</v>
      </c>
      <c r="B3" s="33"/>
      <c r="C3" s="90"/>
      <c r="D3" s="33"/>
      <c r="E3" s="33"/>
      <c r="F3" s="33"/>
      <c r="G3" s="33"/>
      <c r="H3" s="33"/>
      <c r="I3" s="33"/>
      <c r="J3" s="33"/>
      <c r="K3" s="72"/>
    </row>
    <row r="4" spans="1:11">
      <c r="A4" s="34" t="str">
        <f>COMPOSIÇÃO!A3</f>
        <v>CIDADE : MUNICÍPIO SEDE DE CORGUINHO - MS</v>
      </c>
      <c r="B4" s="35"/>
      <c r="C4" s="90"/>
      <c r="D4" s="33"/>
      <c r="E4" s="33"/>
      <c r="F4" s="33"/>
      <c r="G4" s="33"/>
      <c r="H4" s="33"/>
      <c r="I4" s="33"/>
      <c r="J4" s="33"/>
      <c r="K4" s="72"/>
    </row>
    <row r="5" spans="1:11" ht="18">
      <c r="A5" s="95" t="s">
        <v>267</v>
      </c>
      <c r="B5" s="81"/>
      <c r="C5" s="91"/>
      <c r="D5" s="51"/>
      <c r="E5" s="51"/>
      <c r="F5" s="51"/>
      <c r="G5" s="51"/>
      <c r="H5" s="51"/>
      <c r="I5" s="51"/>
      <c r="J5" s="36" t="s">
        <v>76</v>
      </c>
      <c r="K5" s="73">
        <f>BDI!E49</f>
        <v>0.26540000000000002</v>
      </c>
    </row>
    <row r="6" spans="1:11">
      <c r="A6" s="383"/>
      <c r="B6" s="384"/>
      <c r="C6" s="384"/>
      <c r="D6" s="384"/>
      <c r="E6" s="384"/>
      <c r="F6" s="385"/>
      <c r="G6" s="387" t="s">
        <v>69</v>
      </c>
      <c r="H6" s="388"/>
      <c r="I6" s="388"/>
      <c r="J6" s="389"/>
      <c r="K6" s="74" t="s">
        <v>48</v>
      </c>
    </row>
    <row r="7" spans="1:11" s="89" customFormat="1" ht="33">
      <c r="A7" s="96" t="s">
        <v>4</v>
      </c>
      <c r="B7" s="82" t="s">
        <v>94</v>
      </c>
      <c r="C7" s="82" t="s">
        <v>5</v>
      </c>
      <c r="D7" s="37" t="s">
        <v>39</v>
      </c>
      <c r="E7" s="37" t="s">
        <v>0</v>
      </c>
      <c r="F7" s="106" t="s">
        <v>6</v>
      </c>
      <c r="G7" s="107" t="s">
        <v>27</v>
      </c>
      <c r="H7" s="82" t="s">
        <v>28</v>
      </c>
      <c r="I7" s="82" t="s">
        <v>90</v>
      </c>
      <c r="J7" s="82" t="s">
        <v>91</v>
      </c>
      <c r="K7" s="108" t="s">
        <v>89</v>
      </c>
    </row>
    <row r="8" spans="1:11" s="89" customFormat="1">
      <c r="A8" s="75" t="s">
        <v>66</v>
      </c>
      <c r="B8" s="38"/>
      <c r="C8" s="380" t="s">
        <v>8</v>
      </c>
      <c r="D8" s="381"/>
      <c r="E8" s="382"/>
      <c r="F8" s="109"/>
      <c r="G8" s="110"/>
      <c r="H8" s="111"/>
      <c r="I8" s="111"/>
      <c r="J8" s="111"/>
      <c r="K8" s="112">
        <f>K13</f>
        <v>5312.79</v>
      </c>
    </row>
    <row r="9" spans="1:11" s="89" customFormat="1">
      <c r="A9" s="97">
        <v>1</v>
      </c>
      <c r="B9" s="86"/>
      <c r="C9" s="83"/>
      <c r="D9" s="113" t="s">
        <v>63</v>
      </c>
      <c r="E9" s="86"/>
      <c r="F9" s="114"/>
      <c r="G9" s="115"/>
      <c r="H9" s="115"/>
      <c r="I9" s="115"/>
      <c r="J9" s="115"/>
      <c r="K9" s="116"/>
    </row>
    <row r="10" spans="1:11" s="118" customFormat="1">
      <c r="A10" s="98" t="s">
        <v>9</v>
      </c>
      <c r="B10" s="93">
        <v>1</v>
      </c>
      <c r="C10" s="84" t="str">
        <f>VLOOKUP($B10,COMPOSIÇÃO!$A$9:$J$80,3,FALSE)</f>
        <v>COTAÇÃO</v>
      </c>
      <c r="D10" s="117" t="str">
        <f>VLOOKUP($B10,COMPOSIÇÃO!$A$9:$J$80,4,FALSE)</f>
        <v>ART - ANOTAÇÃO DE RESPONSABILIDADE TÉCNICA</v>
      </c>
      <c r="E10" s="93" t="str">
        <f>VLOOKUP($B10,COMPOSIÇÃO!$A$9:$J$80,5,FALSE)</f>
        <v>UN</v>
      </c>
      <c r="F10" s="103">
        <v>1</v>
      </c>
      <c r="G10" s="104">
        <f>VLOOKUP($B10,COMPOSIÇÃO!$A$9:$J$80,8,FALSE)</f>
        <v>0</v>
      </c>
      <c r="H10" s="104">
        <f>VLOOKUP($B10,COMPOSIÇÃO!$A$9:$J$80,9,FALSE)</f>
        <v>226.5</v>
      </c>
      <c r="I10" s="104">
        <f>TRUNC((H10+G10),2)</f>
        <v>226.5</v>
      </c>
      <c r="J10" s="104">
        <f>TRUNC((I10*$K$5+I10),2)</f>
        <v>286.61</v>
      </c>
      <c r="K10" s="105">
        <f>TRUNC(F10*J10,2)</f>
        <v>286.61</v>
      </c>
    </row>
    <row r="11" spans="1:11" s="118" customFormat="1">
      <c r="A11" s="98" t="s">
        <v>202</v>
      </c>
      <c r="B11" s="93">
        <v>2</v>
      </c>
      <c r="C11" s="84">
        <f>VLOOKUP($B11,COMPOSIÇÃO!$A$9:$J$80,3,FALSE)</f>
        <v>91677</v>
      </c>
      <c r="D11" s="117" t="str">
        <f>VLOOKUP($B11,COMPOSIÇÃO!$A$9:$J$80,4,FALSE)</f>
        <v>ENGENHEIRO ELETRICISTA COM ENCARGOS COMPLEMENTARES</v>
      </c>
      <c r="E11" s="93" t="str">
        <f>VLOOKUP($B11,COMPOSIÇÃO!$A$9:$J$80,5,FALSE)</f>
        <v>H</v>
      </c>
      <c r="F11" s="103">
        <v>20</v>
      </c>
      <c r="G11" s="104">
        <f>VLOOKUP($B11,COMPOSIÇÃO!$A$9:$J$80,8,FALSE)</f>
        <v>0.99</v>
      </c>
      <c r="H11" s="104">
        <f>VLOOKUP($B11,COMPOSIÇÃO!$A$9:$J$80,9,FALSE)</f>
        <v>89.64</v>
      </c>
      <c r="I11" s="104">
        <f t="shared" ref="I11:I12" si="0">TRUNC((H11+G11),2)</f>
        <v>90.63</v>
      </c>
      <c r="J11" s="104">
        <f t="shared" ref="J11:J12" si="1">TRUNC((I11*$K$5+I11),2)</f>
        <v>114.68</v>
      </c>
      <c r="K11" s="105">
        <f>TRUNC(F11*J11,2)</f>
        <v>2293.6</v>
      </c>
    </row>
    <row r="12" spans="1:11" s="118" customFormat="1">
      <c r="A12" s="98" t="s">
        <v>203</v>
      </c>
      <c r="B12" s="93">
        <v>4</v>
      </c>
      <c r="C12" s="84" t="str">
        <f>VLOOKUP($B12,COMPOSIÇÃO!$A$9:$J$80,3,FALSE)</f>
        <v>74209/001</v>
      </c>
      <c r="D12" s="102" t="str">
        <f>VLOOKUP($B12,COMPOSIÇÃO!$A$9:$J$80,4,FALSE)</f>
        <v>PLACA DE OBRA EM CHAPA DE ACO GALVANIZADO</v>
      </c>
      <c r="E12" s="93" t="str">
        <f>VLOOKUP($B12,COMPOSIÇÃO!$A$9:$J$80,5,FALSE)</f>
        <v>M2</v>
      </c>
      <c r="F12" s="103">
        <v>3</v>
      </c>
      <c r="G12" s="104">
        <f>VLOOKUP($B12,COMPOSIÇÃO!$A$9:$J$80,8,FALSE)</f>
        <v>671.33</v>
      </c>
      <c r="H12" s="104">
        <f>VLOOKUP($B12,COMPOSIÇÃO!$A$9:$J$80,9,FALSE)</f>
        <v>48.49</v>
      </c>
      <c r="I12" s="104">
        <f t="shared" si="0"/>
        <v>719.82</v>
      </c>
      <c r="J12" s="104">
        <f t="shared" si="1"/>
        <v>910.86</v>
      </c>
      <c r="K12" s="105">
        <f>TRUNC(F12*J12,2)</f>
        <v>2732.58</v>
      </c>
    </row>
    <row r="13" spans="1:11" s="89" customFormat="1">
      <c r="A13" s="99"/>
      <c r="B13" s="88"/>
      <c r="C13" s="85"/>
      <c r="D13" s="119" t="s">
        <v>53</v>
      </c>
      <c r="E13" s="120"/>
      <c r="F13" s="121"/>
      <c r="G13" s="122"/>
      <c r="H13" s="122"/>
      <c r="I13" s="122"/>
      <c r="J13" s="122"/>
      <c r="K13" s="123">
        <f>TRUNC(SUM(K10:K12),2)</f>
        <v>5312.79</v>
      </c>
    </row>
    <row r="14" spans="1:11" s="89" customFormat="1">
      <c r="A14" s="75" t="s">
        <v>67</v>
      </c>
      <c r="B14" s="38"/>
      <c r="C14" s="390" t="s">
        <v>209</v>
      </c>
      <c r="D14" s="391"/>
      <c r="E14" s="391"/>
      <c r="F14" s="45"/>
      <c r="G14" s="45"/>
      <c r="H14" s="45"/>
      <c r="I14" s="45"/>
      <c r="J14" s="45"/>
      <c r="K14" s="80">
        <f>K17+K23+K41</f>
        <v>284424.38</v>
      </c>
    </row>
    <row r="15" spans="1:11" s="89" customFormat="1">
      <c r="A15" s="97">
        <v>2</v>
      </c>
      <c r="B15" s="86"/>
      <c r="C15" s="86"/>
      <c r="D15" s="124" t="s">
        <v>64</v>
      </c>
      <c r="E15" s="86"/>
      <c r="F15" s="125"/>
      <c r="G15" s="126"/>
      <c r="H15" s="126"/>
      <c r="I15" s="126"/>
      <c r="J15" s="126"/>
      <c r="K15" s="127"/>
    </row>
    <row r="16" spans="1:11" s="89" customFormat="1" ht="33">
      <c r="A16" s="98">
        <v>2.1</v>
      </c>
      <c r="B16" s="93">
        <v>3</v>
      </c>
      <c r="C16" s="84" t="str">
        <f>VLOOKUP($B16,COMPOSIÇÃO!$A$9:$J$80,3,FALSE)</f>
        <v>COMPOSIÇÃO</v>
      </c>
      <c r="D16" s="117" t="str">
        <f>VLOOKUP($B16,COMPOSIÇÃO!$A$9:$J$80,4,FALSE)</f>
        <v>MOBILIZACAO E DESMOBILIZAÇÃO DE 01 EQUIPAMENTO CAMINHÃO MUNCK COM CESTO AÉREO, DISTANCIA DE ATE 20KM</v>
      </c>
      <c r="E16" s="93" t="str">
        <f>VLOOKUP($B16,COMPOSIÇÃO!$A$9:$J$80,5,FALSE)</f>
        <v>CHP</v>
      </c>
      <c r="F16" s="103">
        <v>10</v>
      </c>
      <c r="G16" s="104">
        <f>VLOOKUP($B16,COMPOSIÇÃO!$A$9:$J$164,8,FALSE)</f>
        <v>0</v>
      </c>
      <c r="H16" s="104">
        <f>VLOOKUP($B16,COMPOSIÇÃO!$A$9:$J$164,9,FALSE)</f>
        <v>1282.9400000000003</v>
      </c>
      <c r="I16" s="104">
        <f>TRUNC((H16+G16),2)</f>
        <v>1282.94</v>
      </c>
      <c r="J16" s="104">
        <f>TRUNC((I16*$K$5+I16),2)</f>
        <v>1623.43</v>
      </c>
      <c r="K16" s="105">
        <f>TRUNC(F16*J16,2)</f>
        <v>16234.3</v>
      </c>
    </row>
    <row r="17" spans="1:11" s="89" customFormat="1">
      <c r="A17" s="100"/>
      <c r="B17" s="85"/>
      <c r="C17" s="85"/>
      <c r="D17" s="119" t="s">
        <v>10</v>
      </c>
      <c r="E17" s="120"/>
      <c r="F17" s="121"/>
      <c r="G17" s="122"/>
      <c r="H17" s="128"/>
      <c r="I17" s="128"/>
      <c r="J17" s="128"/>
      <c r="K17" s="123">
        <f>SUM(K16:K16)</f>
        <v>16234.3</v>
      </c>
    </row>
    <row r="18" spans="1:11" s="89" customFormat="1">
      <c r="A18" s="97">
        <v>3</v>
      </c>
      <c r="B18" s="86"/>
      <c r="C18" s="86"/>
      <c r="D18" s="124" t="s">
        <v>212</v>
      </c>
      <c r="E18" s="86"/>
      <c r="F18" s="125"/>
      <c r="G18" s="126"/>
      <c r="H18" s="126"/>
      <c r="I18" s="126"/>
      <c r="J18" s="126"/>
      <c r="K18" s="127"/>
    </row>
    <row r="19" spans="1:11" s="130" customFormat="1">
      <c r="A19" s="98">
        <v>3.1</v>
      </c>
      <c r="B19" s="93">
        <v>21</v>
      </c>
      <c r="C19" s="84" t="str">
        <f>VLOOKUP($B19,COMPOSIÇÃO!$A$9:$J$156,3,FALSE)</f>
        <v>93358</v>
      </c>
      <c r="D19" s="102" t="str">
        <f>VLOOKUP($B19,COMPOSIÇÃO!$A$9:$J$156,4,FALSE)</f>
        <v>ESCAVAÇÃO MANUAL DE VALAS. AF_03/2016</v>
      </c>
      <c r="E19" s="93" t="str">
        <f>VLOOKUP($B19,COMPOSIÇÃO!$A$9:$J$156,5,FALSE)</f>
        <v>M3</v>
      </c>
      <c r="F19" s="103">
        <v>95</v>
      </c>
      <c r="G19" s="104">
        <f>VLOOKUP($B19,COMPOSIÇÃO!$A$9:$J$164,8,FALSE)</f>
        <v>0</v>
      </c>
      <c r="H19" s="104">
        <f>VLOOKUP($B19,COMPOSIÇÃO!$A$9:$J$164,9,FALSE)</f>
        <v>61.7136</v>
      </c>
      <c r="I19" s="104">
        <f t="shared" ref="I19:I21" si="2">TRUNC((H19+G19),2)</f>
        <v>61.71</v>
      </c>
      <c r="J19" s="104">
        <f t="shared" ref="J19:J21" si="3">TRUNC((I19*$K$5+I19),2)</f>
        <v>78.08</v>
      </c>
      <c r="K19" s="129">
        <f t="shared" ref="K19:K21" si="4">TRUNC(F19*J19,2)</f>
        <v>7417.6</v>
      </c>
    </row>
    <row r="20" spans="1:11" s="130" customFormat="1" ht="33">
      <c r="A20" s="98">
        <v>3.2</v>
      </c>
      <c r="B20" s="93">
        <v>22</v>
      </c>
      <c r="C20" s="84" t="str">
        <f>VLOOKUP($B20,COMPOSIÇÃO!$A$9:$J$156,3,FALSE)</f>
        <v>94319</v>
      </c>
      <c r="D20" s="102" t="str">
        <f>VLOOKUP($B20,COMPOSIÇÃO!$A$9:$J$156,4,FALSE)</f>
        <v>ATERRO MANUAL DE VALAS COM REAPROVEITAMENTO DE SOLO ARGILO-ARENOSO COM COMPACTAÇÃO MANUAL. AF_05/2016</v>
      </c>
      <c r="E20" s="93" t="str">
        <f>VLOOKUP($B20,COMPOSIÇÃO!$A$9:$J$156,5,FALSE)</f>
        <v>M3</v>
      </c>
      <c r="F20" s="103">
        <v>95</v>
      </c>
      <c r="G20" s="104">
        <f>VLOOKUP($B20,COMPOSIÇÃO!$A$9:$J$164,8,FALSE)</f>
        <v>0</v>
      </c>
      <c r="H20" s="104">
        <f>VLOOKUP($B20,COMPOSIÇÃO!$A$9:$J$164,9,FALSE)</f>
        <v>45.084000000000003</v>
      </c>
      <c r="I20" s="104">
        <f t="shared" si="2"/>
        <v>45.08</v>
      </c>
      <c r="J20" s="104">
        <f t="shared" si="3"/>
        <v>57.04</v>
      </c>
      <c r="K20" s="129">
        <f t="shared" si="4"/>
        <v>5418.8</v>
      </c>
    </row>
    <row r="21" spans="1:11" s="89" customFormat="1" ht="33">
      <c r="A21" s="98">
        <v>3.3</v>
      </c>
      <c r="B21" s="93">
        <v>27</v>
      </c>
      <c r="C21" s="84">
        <f>VLOOKUP($B21,COMPOSIÇÃO!$A$9:$J$256,3,FALSE)</f>
        <v>94975</v>
      </c>
      <c r="D21" s="102" t="str">
        <f>VLOOKUP($B21,COMPOSIÇÃO!$A$9:$J$256,4,FALSE)</f>
        <v xml:space="preserve">CONCRETO FCK = 15MPA, TRAÇO 1:3,4:3,5 (CIMENTO/ AREIA MÉDIA/ BRITA 1) - PREPARO MANUAL. AF_07/2016 (PARA ENVELOPAMENTO DE DUTOS EM  TRAVESSIAS  COM OU SEM PAVIMENTAÇÃO) </v>
      </c>
      <c r="E21" s="93" t="str">
        <f>VLOOKUP($B21,COMPOSIÇÃO!$A$9:$J$256,5,FALSE)</f>
        <v>M3</v>
      </c>
      <c r="F21" s="103">
        <v>6.3</v>
      </c>
      <c r="G21" s="104">
        <f>VLOOKUP($B21,COMPOSIÇÃO!$A$9:$J$264,8,FALSE)</f>
        <v>201.84</v>
      </c>
      <c r="H21" s="104">
        <f>VLOOKUP($B21,COMPOSIÇÃO!$A$9:$J$264,9,FALSE)</f>
        <v>156.31</v>
      </c>
      <c r="I21" s="104">
        <f t="shared" si="2"/>
        <v>358.15</v>
      </c>
      <c r="J21" s="104">
        <f t="shared" si="3"/>
        <v>453.2</v>
      </c>
      <c r="K21" s="129">
        <f t="shared" si="4"/>
        <v>2855.16</v>
      </c>
    </row>
    <row r="22" spans="1:11" s="89" customFormat="1">
      <c r="A22" s="98">
        <v>3.4</v>
      </c>
      <c r="B22" s="93">
        <v>28</v>
      </c>
      <c r="C22" s="84" t="str">
        <f>VLOOKUP($B22,COMPOSIÇÃO!$A$9:$J$256,3,FALSE)</f>
        <v>74157/004</v>
      </c>
      <c r="D22" s="102" t="str">
        <f>VLOOKUP($B22,COMPOSIÇÃO!$A$9:$J$256,4,FALSE)</f>
        <v>LANCAMENTO/APLICACAO MANUAL DE CONCRETO EM FUNDACOES</v>
      </c>
      <c r="E22" s="93" t="str">
        <f>VLOOKUP($B22,COMPOSIÇÃO!$A$9:$J$256,5,FALSE)</f>
        <v>M3</v>
      </c>
      <c r="F22" s="103">
        <v>6.3</v>
      </c>
      <c r="G22" s="104">
        <f>VLOOKUP($B22,COMPOSIÇÃO!$A$9:$J$264,8,FALSE)</f>
        <v>0.39</v>
      </c>
      <c r="H22" s="104">
        <f>VLOOKUP($B22,COMPOSIÇÃO!$A$9:$J$264,9,FALSE)</f>
        <v>90.31</v>
      </c>
      <c r="I22" s="104">
        <f t="shared" ref="I22" si="5">TRUNC((H22+G22),2)</f>
        <v>90.7</v>
      </c>
      <c r="J22" s="104">
        <f t="shared" ref="J22" si="6">TRUNC((I22*$K$5+I22),2)</f>
        <v>114.77</v>
      </c>
      <c r="K22" s="129">
        <f t="shared" ref="K22" si="7">TRUNC(F22*J22,2)</f>
        <v>723.05</v>
      </c>
    </row>
    <row r="23" spans="1:11" s="89" customFormat="1">
      <c r="A23" s="100"/>
      <c r="B23" s="85"/>
      <c r="C23" s="85"/>
      <c r="D23" s="119" t="s">
        <v>10</v>
      </c>
      <c r="E23" s="120"/>
      <c r="F23" s="121"/>
      <c r="G23" s="122"/>
      <c r="H23" s="128"/>
      <c r="I23" s="128"/>
      <c r="J23" s="128"/>
      <c r="K23" s="123">
        <f>SUM(K19:K22)</f>
        <v>16414.61</v>
      </c>
    </row>
    <row r="24" spans="1:11" s="89" customFormat="1">
      <c r="A24" s="98"/>
      <c r="B24" s="93"/>
      <c r="C24" s="84"/>
      <c r="D24" s="102"/>
      <c r="E24" s="93"/>
      <c r="F24" s="103"/>
      <c r="G24" s="104"/>
      <c r="H24" s="104"/>
      <c r="I24" s="104"/>
      <c r="J24" s="104"/>
      <c r="K24" s="105"/>
    </row>
    <row r="25" spans="1:11" s="89" customFormat="1">
      <c r="A25" s="97">
        <v>4</v>
      </c>
      <c r="B25" s="86"/>
      <c r="C25" s="86"/>
      <c r="D25" s="124" t="s">
        <v>68</v>
      </c>
      <c r="E25" s="86"/>
      <c r="F25" s="125"/>
      <c r="G25" s="126"/>
      <c r="H25" s="126"/>
      <c r="I25" s="126"/>
      <c r="J25" s="126"/>
      <c r="K25" s="127"/>
    </row>
    <row r="26" spans="1:11" s="89" customFormat="1" ht="247.5">
      <c r="A26" s="98" t="s">
        <v>273</v>
      </c>
      <c r="B26" s="93">
        <v>6</v>
      </c>
      <c r="C26" s="84" t="str">
        <f>VLOOKUP($B26,COMPOSIÇÃO!$A$9:$J$156,3,FALSE)</f>
        <v>COMPOSIÇÃO</v>
      </c>
      <c r="D26" s="102" t="str">
        <f>VLOOKUP($B26,COMPOSIÇÃO!$A$9:$J$156,4,FALSE)</f>
        <v>LUMINARIA DE LED PARA ILUMINACAO PÚBLICA, TENSÃO DE ENTRADA D 90 A 305V - 50 A 60HZ, POTÊNCIA DE 150W, FLUXO LUMINOSO MÍNIMO 18.000 LUMENS, EFICIÊNCIA MÍNIMA DE 120 LM/W, TEMPERATURA DE COR: 5000K(4.746 +/- 275), IRC MÍNIMO 70, LENTES EM POLICARBONATO, RESISTÊNCIA Á IMPACTOS MECÂNICOS COM GRAU MÍNIMO DE PROTEÇÃO IK 08, FATOR DE POTÊNCIA MÍNIMO &gt;=0,98, DISTORCÇÃO HARMÔNICA TORAL(THD) MENOR QUE 10%, PROTETOR DE SURTO10 KV/10KA, INCORPORADO, CORPO EM ALUMÍNIO INJETADO E/OU ESTRUTURADO NA COR CINZA, GRAU DE PROTEÇÃO IP66 NA ÓTICA E DRIVER, COM SUPORTE DE FIXAÇÃO EM BRAÇOS DE 48MM Á 65MM, COMPOSTA DE BASE PARA INSTALAÇÃO DE RELÉ FOTOELÉTRICO, COM SUPORTE PARA TELEGESTÃO COM TOMADAS DE 7 PINOS E DRIVER DIMERIZÁVEL PROTOCOLO 1~10, VIDA ÚTIL MÍNIMA DO CONJUNTO DE 50.000 HORAS, EM CONFORMIDADE COM AS NORMAS ABNT NBR 5101(ILUMINAÇÃO PÚBLICA / ABNT NBR 5123(RELÉS FOTOELÉTRICOS), ABNT NBR15129, NBR 60598-1, NBR 16026, NBR 60529, IEC 62262:2002, IES LM- 80-08 E IESTM 21-11.  APRESENTAÇÃO CERTIFICADO GARANTIA DE FÁBRICA. TESTES DE ENSAIO DE LABOTATÓRIOS ACREDITADOS PELO INMETRO, TRÓPICO, LPL Ares II MINI DA ILUMATIC  OU EQUIVALENTE - FORNECIMENTO E INSTALAÇÃO</v>
      </c>
      <c r="E26" s="93" t="str">
        <f>VLOOKUP($B26,COMPOSIÇÃO!$A$9:$J$156,5,FALSE)</f>
        <v>UN</v>
      </c>
      <c r="F26" s="103">
        <v>58</v>
      </c>
      <c r="G26" s="104">
        <f>VLOOKUP($B26,COMPOSIÇÃO!$A$9:$J$164,8,FALSE)</f>
        <v>1095</v>
      </c>
      <c r="H26" s="104">
        <f>VLOOKUP($B26,COMPOSIÇÃO!$A$9:$J$164,9,FALSE)</f>
        <v>9.2899999999999991</v>
      </c>
      <c r="I26" s="104">
        <f t="shared" ref="I26:I40" si="8">TRUNC((H26+G26),2)</f>
        <v>1104.29</v>
      </c>
      <c r="J26" s="104">
        <f t="shared" ref="J26:J40" si="9">TRUNC((I26*$K$5+I26),2)</f>
        <v>1397.36</v>
      </c>
      <c r="K26" s="105">
        <f t="shared" ref="K26:K40" si="10">TRUNC(F26*J26,2)</f>
        <v>81046.880000000005</v>
      </c>
    </row>
    <row r="27" spans="1:11" s="89" customFormat="1" ht="33">
      <c r="A27" s="98" t="s">
        <v>274</v>
      </c>
      <c r="B27" s="93">
        <v>18</v>
      </c>
      <c r="C27" s="84" t="str">
        <f>VLOOKUP($B27,COMPOSIÇÃO!$A$9:$J$156,3,FALSE)</f>
        <v>COMPOSIÇÃO</v>
      </c>
      <c r="D27" s="102" t="str">
        <f>VLOOKUP($B27,COMPOSIÇÃO!$A$9:$J$156,4,FALSE)</f>
        <v>POSTE DE ACO TELECONICO CONTINUO CURVO DUPLO COM ALTURA DE MONTAGEM, ENGASTADO, COM JANELA DE INSPECAO H=9M - FORNECIMENTO E INSTALACAO</v>
      </c>
      <c r="E27" s="93" t="str">
        <f>VLOOKUP($B27,COMPOSIÇÃO!$A$9:$J$156,5,FALSE)</f>
        <v>UN</v>
      </c>
      <c r="F27" s="103">
        <v>29</v>
      </c>
      <c r="G27" s="104">
        <f>VLOOKUP($B27,COMPOSIÇÃO!$A$9:$J$164,8,FALSE)</f>
        <v>1280</v>
      </c>
      <c r="H27" s="104">
        <f>VLOOKUP($B27,COMPOSIÇÃO!$A$9:$J$164,9,FALSE)</f>
        <v>333.82900000000001</v>
      </c>
      <c r="I27" s="104">
        <f t="shared" si="8"/>
        <v>1613.82</v>
      </c>
      <c r="J27" s="104">
        <f t="shared" si="9"/>
        <v>2042.12</v>
      </c>
      <c r="K27" s="105">
        <f t="shared" si="10"/>
        <v>59221.48</v>
      </c>
    </row>
    <row r="28" spans="1:11" s="89" customFormat="1" ht="33">
      <c r="A28" s="98" t="s">
        <v>275</v>
      </c>
      <c r="B28" s="93">
        <v>11</v>
      </c>
      <c r="C28" s="84">
        <f>VLOOKUP($B28,COMPOSIÇÃO!$A$9:$J$156,3,FALSE)</f>
        <v>83399</v>
      </c>
      <c r="D28" s="102" t="str">
        <f>VLOOKUP($B28,COMPOSIÇÃO!$A$9:$J$156,4,FALSE)</f>
        <v>RELE FOTOELETRICO P/ COMANDO DE ILUMINACAO EXTERNA 220V/1000W - FORNECIMENTO E INSTALACAO</v>
      </c>
      <c r="E28" s="93" t="str">
        <f>VLOOKUP($B28,COMPOSIÇÃO!$A$9:$J$156,5,FALSE)</f>
        <v>UN</v>
      </c>
      <c r="F28" s="103">
        <v>58</v>
      </c>
      <c r="G28" s="104">
        <f>VLOOKUP($B28,COMPOSIÇÃO!$A$9:$J$164,8,FALSE)</f>
        <v>32.89</v>
      </c>
      <c r="H28" s="104">
        <f>VLOOKUP($B28,COMPOSIÇÃO!$A$9:$J$164,9,FALSE)</f>
        <v>13</v>
      </c>
      <c r="I28" s="104">
        <f t="shared" si="8"/>
        <v>45.89</v>
      </c>
      <c r="J28" s="104">
        <f t="shared" si="9"/>
        <v>58.06</v>
      </c>
      <c r="K28" s="105">
        <f t="shared" si="10"/>
        <v>3367.48</v>
      </c>
    </row>
    <row r="29" spans="1:11" s="89" customFormat="1" ht="33">
      <c r="A29" s="98" t="s">
        <v>276</v>
      </c>
      <c r="B29" s="93">
        <v>20</v>
      </c>
      <c r="C29" s="84" t="str">
        <f>VLOOKUP($B29,COMPOSIÇÃO!$A$9:$J$156,3,FALSE)</f>
        <v>39246 -   COMP</v>
      </c>
      <c r="D29" s="102" t="str">
        <f>VLOOKUP($B29,COMPOSIÇÃO!$A$9:$J$156,4,FALSE)</f>
        <v>ELETRODUTO FLEXÍVEL CORRUGADO, PVC, DN 40 MM (11/4"), PARA CIRCUITOS TERMINAIS, INSTALADO EM SOLO - FORNECIMENTO E INSTALAÇÃO.</v>
      </c>
      <c r="E29" s="93" t="str">
        <f>VLOOKUP($B29,COMPOSIÇÃO!$A$9:$J$156,5,FALSE)</f>
        <v>M</v>
      </c>
      <c r="F29" s="103">
        <v>900</v>
      </c>
      <c r="G29" s="104">
        <f>VLOOKUP($B29,COMPOSIÇÃO!$A$9:$J$164,8,FALSE)</f>
        <v>4.53</v>
      </c>
      <c r="H29" s="104">
        <f>VLOOKUP($B29,COMPOSIÇÃO!$A$9:$J$164,9,FALSE)</f>
        <v>4.9252199999999995</v>
      </c>
      <c r="I29" s="104">
        <f t="shared" ref="I29" si="11">TRUNC((H29+G29),2)</f>
        <v>9.4499999999999993</v>
      </c>
      <c r="J29" s="104">
        <f t="shared" ref="J29" si="12">TRUNC((I29*$K$5+I29),2)</f>
        <v>11.95</v>
      </c>
      <c r="K29" s="105">
        <f t="shared" ref="K29" si="13">TRUNC(F29*J29,2)</f>
        <v>10755</v>
      </c>
    </row>
    <row r="30" spans="1:11" s="89" customFormat="1" ht="33">
      <c r="A30" s="98" t="s">
        <v>277</v>
      </c>
      <c r="B30" s="93">
        <v>7</v>
      </c>
      <c r="C30" s="84" t="str">
        <f>VLOOKUP($B30,COMPOSIÇÃO!$A$9:$J$156,3,FALSE)</f>
        <v>91926</v>
      </c>
      <c r="D30" s="102" t="str">
        <f>VLOOKUP($B30,COMPOSIÇÃO!$A$9:$J$156,4,FALSE)</f>
        <v>CABO DE COBRE FLEXÍVEL ISOLADO, 2,5 MM², ANTI-CHAMA 450/750 V, PARA CIRCUITOS TERMINAIS - FORNECIMENTO E INSTALAÇÃO. AF_12/2015</v>
      </c>
      <c r="E30" s="93" t="str">
        <f>VLOOKUP($B30,COMPOSIÇÃO!$A$9:$J$156,5,FALSE)</f>
        <v>M</v>
      </c>
      <c r="F30" s="103">
        <v>1850</v>
      </c>
      <c r="G30" s="104">
        <f>VLOOKUP($B30,COMPOSIÇÃO!$A$9:$J$164,8,FALSE)</f>
        <v>4.5399999999999991</v>
      </c>
      <c r="H30" s="104">
        <f>VLOOKUP($B30,COMPOSIÇÃO!$A$9:$J$164,9,FALSE)</f>
        <v>1.1299999999999999</v>
      </c>
      <c r="I30" s="104">
        <f t="shared" si="8"/>
        <v>5.67</v>
      </c>
      <c r="J30" s="104">
        <f t="shared" si="9"/>
        <v>7.17</v>
      </c>
      <c r="K30" s="105">
        <f t="shared" si="10"/>
        <v>13264.5</v>
      </c>
    </row>
    <row r="31" spans="1:11" s="89" customFormat="1" ht="33">
      <c r="A31" s="98" t="s">
        <v>278</v>
      </c>
      <c r="B31" s="93">
        <v>10</v>
      </c>
      <c r="C31" s="84">
        <f>VLOOKUP($B31,COMPOSIÇÃO!$A$9:$J$156,3,FALSE)</f>
        <v>91933</v>
      </c>
      <c r="D31" s="102" t="str">
        <f>VLOOKUP($B31,COMPOSIÇÃO!$A$9:$J$156,4,FALSE)</f>
        <v>CABO DE COBRE FLEXÍVEL ISOLADO, 10 MM², ANTI-CHAMA 0,6/1,0 KV, PARA CIRCUITOS TERMINAIS - FORNECIMENTO E INSTALAÇÃO. AF_12/2015</v>
      </c>
      <c r="E31" s="93" t="str">
        <f>VLOOKUP($B31,COMPOSIÇÃO!$A$9:$J$156,5,FALSE)</f>
        <v>M</v>
      </c>
      <c r="F31" s="103">
        <v>3800</v>
      </c>
      <c r="G31" s="104">
        <f>VLOOKUP($B31,COMPOSIÇÃO!$A$9:$J$164,8,FALSE)</f>
        <v>9.8871499999999983</v>
      </c>
      <c r="H31" s="104">
        <f>VLOOKUP($B31,COMPOSIÇÃO!$A$9:$J$164,9,FALSE)</f>
        <v>2.9398599999999999</v>
      </c>
      <c r="I31" s="104">
        <f t="shared" ref="I31:I34" si="14">TRUNC((H31+G31),2)</f>
        <v>12.82</v>
      </c>
      <c r="J31" s="104">
        <f t="shared" ref="J31:J34" si="15">TRUNC((I31*$K$5+I31),2)</f>
        <v>16.22</v>
      </c>
      <c r="K31" s="105">
        <f t="shared" ref="K31:K34" si="16">TRUNC(F31*J31,2)</f>
        <v>61636</v>
      </c>
    </row>
    <row r="32" spans="1:11" s="89" customFormat="1" ht="33">
      <c r="A32" s="98" t="s">
        <v>279</v>
      </c>
      <c r="B32" s="93">
        <v>12</v>
      </c>
      <c r="C32" s="84" t="str">
        <f>VLOOKUP($B32,COMPOSIÇÃO!$A$9:$J$156,3,FALSE)</f>
        <v xml:space="preserve">COMPOSIÇÃO </v>
      </c>
      <c r="D32" s="102" t="str">
        <f>VLOOKUP($B32,COMPOSIÇÃO!$A$9:$J$156,4,FALSE)</f>
        <v>CONECTOR DE DERIVAÇÃO PERFURANTE - PRINCIPAL 10-95MM² - DERIVAÇÃO 1,5-10MM² - FORNECIMENTO E INSTALAÇÃO</v>
      </c>
      <c r="E32" s="93" t="str">
        <f>VLOOKUP($B32,COMPOSIÇÃO!$A$9:$J$156,5,FALSE)</f>
        <v>UN.</v>
      </c>
      <c r="F32" s="103">
        <v>256</v>
      </c>
      <c r="G32" s="104">
        <f>VLOOKUP($B32,COMPOSIÇÃO!$A$9:$J$164,8,FALSE)</f>
        <v>4.87</v>
      </c>
      <c r="H32" s="104">
        <f>VLOOKUP($B32,COMPOSIÇÃO!$A$9:$J$164,9,FALSE)</f>
        <v>5.7200000000000006</v>
      </c>
      <c r="I32" s="104">
        <f t="shared" si="14"/>
        <v>10.59</v>
      </c>
      <c r="J32" s="104">
        <f t="shared" si="15"/>
        <v>13.4</v>
      </c>
      <c r="K32" s="105">
        <f t="shared" si="16"/>
        <v>3430.4</v>
      </c>
    </row>
    <row r="33" spans="1:11" s="89" customFormat="1" ht="33">
      <c r="A33" s="98" t="s">
        <v>280</v>
      </c>
      <c r="B33" s="93">
        <v>13</v>
      </c>
      <c r="C33" s="84" t="str">
        <f>VLOOKUP($B33,COMPOSIÇÃO!$A$9:$J$156,3,FALSE)</f>
        <v>COMPOSIÇÃO</v>
      </c>
      <c r="D33" s="102" t="str">
        <f>VLOOKUP($B33,COMPOSIÇÃO!$A$9:$J$156,4,FALSE)</f>
        <v>FITA ISOLANTE DE BORRACHA AUTOFUSAO, USO ATE 69 KV (ALTA TENSAO) - FORNECIMENTO E APLICAÇÃO</v>
      </c>
      <c r="E33" s="93" t="str">
        <f>VLOOKUP($B33,COMPOSIÇÃO!$A$9:$J$156,5,FALSE)</f>
        <v>UN</v>
      </c>
      <c r="F33" s="103">
        <v>30</v>
      </c>
      <c r="G33" s="104">
        <f>VLOOKUP($B33,COMPOSIÇÃO!$A$9:$J$164,8,FALSE)</f>
        <v>15</v>
      </c>
      <c r="H33" s="104">
        <f>VLOOKUP($B33,COMPOSIÇÃO!$A$9:$J$164,9,FALSE)</f>
        <v>2.59</v>
      </c>
      <c r="I33" s="104">
        <f t="shared" si="14"/>
        <v>17.59</v>
      </c>
      <c r="J33" s="104">
        <f t="shared" si="15"/>
        <v>22.25</v>
      </c>
      <c r="K33" s="105">
        <f t="shared" si="16"/>
        <v>667.5</v>
      </c>
    </row>
    <row r="34" spans="1:11" s="89" customFormat="1" ht="49.5">
      <c r="A34" s="98" t="s">
        <v>281</v>
      </c>
      <c r="B34" s="93">
        <v>16</v>
      </c>
      <c r="C34" s="84" t="str">
        <f>VLOOKUP($B34,COMPOSIÇÃO!$A$9:$J$256,3,FALSE)</f>
        <v>COMPOSIÇÃO</v>
      </c>
      <c r="D34" s="102" t="str">
        <f>VLOOKUP($B34,COMPOSIÇÃO!$A$9:$J$256,4,FALSE)</f>
        <v>QUADRO DE DISTRIBUICAO DE ENERGIA DE SOBREPOR, EM CHAPA METÁLICA, PRÉ- FABRICADA, COMPOSTO DE DISJUNTOR GERAL E EQUIPAMENTOS DE COMANDO, CONFORME DIAGRAMA ELÉTRICO - FORNECIMENTO E INSTALAÇÃO.</v>
      </c>
      <c r="E34" s="93" t="str">
        <f>VLOOKUP($B34,COMPOSIÇÃO!$A$9:$J$156,5,FALSE)</f>
        <v>UN</v>
      </c>
      <c r="F34" s="103">
        <v>2</v>
      </c>
      <c r="G34" s="104">
        <f>VLOOKUP($B34,COMPOSIÇÃO!$A$9:$J$164,8,FALSE)</f>
        <v>1566.1132</v>
      </c>
      <c r="H34" s="104">
        <f>VLOOKUP($B34,COMPOSIÇÃO!$A$9:$J$164,9,FALSE)</f>
        <v>250.48000000000002</v>
      </c>
      <c r="I34" s="104">
        <f t="shared" si="14"/>
        <v>1816.59</v>
      </c>
      <c r="J34" s="104">
        <f t="shared" si="15"/>
        <v>2298.71</v>
      </c>
      <c r="K34" s="105">
        <f t="shared" si="16"/>
        <v>4597.42</v>
      </c>
    </row>
    <row r="35" spans="1:11" s="89" customFormat="1">
      <c r="A35" s="98" t="s">
        <v>282</v>
      </c>
      <c r="B35" s="93">
        <v>17</v>
      </c>
      <c r="C35" s="84" t="str">
        <f>VLOOKUP($B35,COMPOSIÇÃO!$A$9:$J$256,3,FALSE)</f>
        <v>68069</v>
      </c>
      <c r="D35" s="102" t="str">
        <f>VLOOKUP($B35,COMPOSIÇÃO!$A$9:$J$256,4,FALSE)</f>
        <v>HASTE DE ATERRAMENTO 5/8  PARA SPDA - FORNECIMENTO E INSTALAÇÃO. AF_12/2017</v>
      </c>
      <c r="E35" s="93" t="str">
        <f>VLOOKUP($B35,COMPOSIÇÃO!$A$9:$J$156,5,FALSE)</f>
        <v>UN</v>
      </c>
      <c r="F35" s="103">
        <v>11</v>
      </c>
      <c r="G35" s="104">
        <f>VLOOKUP($B35,COMPOSIÇÃO!$A$9:$J$164,8,FALSE)</f>
        <v>35.57</v>
      </c>
      <c r="H35" s="104">
        <f>VLOOKUP($B35,COMPOSIÇÃO!$A$9:$J$164,9,FALSE)</f>
        <v>15.272</v>
      </c>
      <c r="I35" s="104">
        <f t="shared" ref="I35" si="17">TRUNC((H35+G35),2)</f>
        <v>50.84</v>
      </c>
      <c r="J35" s="104">
        <f t="shared" ref="J35" si="18">TRUNC((I35*$K$5+I35),2)</f>
        <v>64.33</v>
      </c>
      <c r="K35" s="105">
        <f t="shared" ref="K35" si="19">TRUNC(F35*J35,2)</f>
        <v>707.63</v>
      </c>
    </row>
    <row r="36" spans="1:11" s="89" customFormat="1">
      <c r="A36" s="98" t="s">
        <v>283</v>
      </c>
      <c r="B36" s="93">
        <v>19</v>
      </c>
      <c r="C36" s="84" t="str">
        <f>VLOOKUP($B36,COMPOSIÇÃO!$A$9:$J$156,3,FALSE)</f>
        <v>83446</v>
      </c>
      <c r="D36" s="102" t="str">
        <f>VLOOKUP($B36,COMPOSIÇÃO!$A$9:$J$156,4,FALSE)</f>
        <v>CAIXA DE PASSAGEM 30X30X40 COM TAMPA E DRENO BRITA</v>
      </c>
      <c r="E36" s="93" t="str">
        <f>VLOOKUP($B36,COMPOSIÇÃO!$A$9:$J$156,5,FALSE)</f>
        <v>UN</v>
      </c>
      <c r="F36" s="103">
        <v>34</v>
      </c>
      <c r="G36" s="104">
        <f>VLOOKUP($B36,COMPOSIÇÃO!$A$9:$J$164,8,FALSE)</f>
        <v>45.06</v>
      </c>
      <c r="H36" s="104">
        <f>VLOOKUP($B36,COMPOSIÇÃO!$A$9:$J$164,9,FALSE)</f>
        <v>101.18224900000001</v>
      </c>
      <c r="I36" s="104">
        <f t="shared" si="8"/>
        <v>146.24</v>
      </c>
      <c r="J36" s="104">
        <f t="shared" si="9"/>
        <v>185.05</v>
      </c>
      <c r="K36" s="105">
        <f t="shared" si="10"/>
        <v>6291.7</v>
      </c>
    </row>
    <row r="37" spans="1:11" s="89" customFormat="1">
      <c r="A37" s="98" t="s">
        <v>284</v>
      </c>
      <c r="B37" s="93">
        <v>23</v>
      </c>
      <c r="C37" s="84">
        <f>VLOOKUP($B37,COMPOSIÇÃO!$A$9:$J$156,3,FALSE)</f>
        <v>93672</v>
      </c>
      <c r="D37" s="102" t="str">
        <f>VLOOKUP($B37,COMPOSIÇÃO!$A$9:$J$156,4,FALSE)</f>
        <v xml:space="preserve">DISJUNTOR TRIPOLAR TIPO DIN, CORRENTE NOMINAL DE 40A - FORNECIMENTO E INSTALAÇÃO. </v>
      </c>
      <c r="E37" s="93" t="str">
        <f>VLOOKUP($B37,COMPOSIÇÃO!$A$9:$J$156,5,FALSE)</f>
        <v>UN</v>
      </c>
      <c r="F37" s="103">
        <v>2</v>
      </c>
      <c r="G37" s="104">
        <f>VLOOKUP($B37,COMPOSIÇÃO!$A$9:$J$164,8,FALSE)</f>
        <v>60.82</v>
      </c>
      <c r="H37" s="104">
        <f>VLOOKUP($B37,COMPOSIÇÃO!$A$9:$J$164,9,FALSE)</f>
        <v>15.49</v>
      </c>
      <c r="I37" s="104">
        <f t="shared" si="8"/>
        <v>76.31</v>
      </c>
      <c r="J37" s="104">
        <f t="shared" si="9"/>
        <v>96.56</v>
      </c>
      <c r="K37" s="105">
        <f t="shared" si="10"/>
        <v>193.12</v>
      </c>
    </row>
    <row r="38" spans="1:11" s="89" customFormat="1">
      <c r="A38" s="98" t="s">
        <v>285</v>
      </c>
      <c r="B38" s="93">
        <v>24</v>
      </c>
      <c r="C38" s="84">
        <f>VLOOKUP($B38,COMPOSIÇÃO!$A$9:$J$156,3,FALSE)</f>
        <v>91908</v>
      </c>
      <c r="D38" s="102" t="str">
        <f>VLOOKUP($B38,COMPOSIÇÃO!$A$9:$J$156,4,FALSE)</f>
        <v>CURVA 90 GRAUS, PVC, ROSCÁVEL, DN 40MM (11/4") - FORNECIMENTO E INSTALAÇÃO.</v>
      </c>
      <c r="E38" s="93" t="str">
        <f>VLOOKUP($B38,COMPOSIÇÃO!$A$9:$J$156,5,FALSE)</f>
        <v>UN</v>
      </c>
      <c r="F38" s="103">
        <v>2</v>
      </c>
      <c r="G38" s="104">
        <f>VLOOKUP($B38,COMPOSIÇÃO!$A$9:$J$164,8,FALSE)</f>
        <v>3.74</v>
      </c>
      <c r="H38" s="104">
        <f>VLOOKUP($B38,COMPOSIÇÃO!$A$9:$J$164,9,FALSE)</f>
        <v>11.71</v>
      </c>
      <c r="I38" s="104">
        <f t="shared" si="8"/>
        <v>15.45</v>
      </c>
      <c r="J38" s="104">
        <f t="shared" si="9"/>
        <v>19.55</v>
      </c>
      <c r="K38" s="105">
        <f t="shared" si="10"/>
        <v>39.1</v>
      </c>
    </row>
    <row r="39" spans="1:11" s="89" customFormat="1">
      <c r="A39" s="98" t="s">
        <v>286</v>
      </c>
      <c r="B39" s="93">
        <v>25</v>
      </c>
      <c r="C39" s="84" t="str">
        <f>VLOOKUP($B39,COMPOSIÇÃO!$A$9:$J$256,3,FALSE)</f>
        <v>COMPOSIÇÃO 14</v>
      </c>
      <c r="D39" s="102" t="str">
        <f>VLOOKUP($B39,COMPOSIÇÃO!$A$9:$J$256,4,FALSE)</f>
        <v>LUVA PARA ELETRODUTO, PVC, ROSCÁVEL, DN 40 MM (1 1/4") - FORNECIMENTO E INSTALAÇÃO.</v>
      </c>
      <c r="E39" s="93" t="str">
        <f>VLOOKUP($B39,COMPOSIÇÃO!$A$9:$J$256,5,FALSE)</f>
        <v>UN</v>
      </c>
      <c r="F39" s="103">
        <v>6</v>
      </c>
      <c r="G39" s="104">
        <f>VLOOKUP($B39,COMPOSIÇÃO!$A$9:$J$164,8,FALSE)</f>
        <v>2.0499999999999998</v>
      </c>
      <c r="H39" s="104">
        <f>VLOOKUP($B39,COMPOSIÇÃO!$A$9:$J$164,9,FALSE)</f>
        <v>7.2900000000000009</v>
      </c>
      <c r="I39" s="104">
        <f t="shared" si="8"/>
        <v>9.34</v>
      </c>
      <c r="J39" s="104">
        <f t="shared" si="9"/>
        <v>11.81</v>
      </c>
      <c r="K39" s="105">
        <f t="shared" si="10"/>
        <v>70.86</v>
      </c>
    </row>
    <row r="40" spans="1:11" s="89" customFormat="1" ht="49.5">
      <c r="A40" s="98" t="s">
        <v>287</v>
      </c>
      <c r="B40" s="93">
        <v>26</v>
      </c>
      <c r="C40" s="84">
        <f>VLOOKUP($B40,COMPOSIÇÃO!$A$9:$J$256,3,FALSE)</f>
        <v>92364</v>
      </c>
      <c r="D40" s="102" t="str">
        <f>VLOOKUP($B40,COMPOSIÇÃO!$A$9:$J$256,4,FALSE)</f>
        <v>TUBO DE AÇO GALVANIZADO COM COSTURA, CLASSE MÉDIA, DN 32 (1 1/4"), CONEXÃO ROSQUEADA, INSTALADO EM REDE DE ALIMENTAÇÃO PARA HIDRANTE - FORNECIMENTO E INSTALAÇÃO. AF_12/2015</v>
      </c>
      <c r="E40" s="93" t="str">
        <f>VLOOKUP($B40,COMPOSIÇÃO!$A$9:$J$256,5,FALSE)</f>
        <v>M</v>
      </c>
      <c r="F40" s="103">
        <v>160</v>
      </c>
      <c r="G40" s="104">
        <f>VLOOKUP($B40,COMPOSIÇÃO!$A$9:$J$264,8,FALSE)</f>
        <v>26.24</v>
      </c>
      <c r="H40" s="104">
        <f>VLOOKUP($B40,COMPOSIÇÃO!$A$9:$J$264,9,FALSE)</f>
        <v>5.8</v>
      </c>
      <c r="I40" s="104">
        <f t="shared" si="8"/>
        <v>32.04</v>
      </c>
      <c r="J40" s="104">
        <f t="shared" si="9"/>
        <v>40.54</v>
      </c>
      <c r="K40" s="105">
        <f t="shared" si="10"/>
        <v>6486.4</v>
      </c>
    </row>
    <row r="41" spans="1:11">
      <c r="A41" s="100"/>
      <c r="B41" s="85"/>
      <c r="C41" s="85"/>
      <c r="D41" s="39" t="s">
        <v>10</v>
      </c>
      <c r="E41" s="40"/>
      <c r="F41" s="41"/>
      <c r="G41" s="42"/>
      <c r="H41" s="43"/>
      <c r="I41" s="43"/>
      <c r="J41" s="43"/>
      <c r="K41" s="76">
        <f>SUM(K26:K40)</f>
        <v>251775.47000000003</v>
      </c>
    </row>
    <row r="42" spans="1:11" ht="17.25" thickBot="1">
      <c r="A42" s="101"/>
      <c r="B42" s="94"/>
      <c r="C42" s="92"/>
      <c r="D42" s="386" t="s">
        <v>92</v>
      </c>
      <c r="E42" s="386"/>
      <c r="F42" s="386"/>
      <c r="G42" s="77"/>
      <c r="H42" s="77"/>
      <c r="I42" s="77"/>
      <c r="J42" s="77"/>
      <c r="K42" s="78">
        <f>K14+K8</f>
        <v>289737.17</v>
      </c>
    </row>
  </sheetData>
  <mergeCells count="6">
    <mergeCell ref="A1:K1"/>
    <mergeCell ref="C8:E8"/>
    <mergeCell ref="A6:F6"/>
    <mergeCell ref="D42:F42"/>
    <mergeCell ref="G6:J6"/>
    <mergeCell ref="C14:E14"/>
  </mergeCells>
  <printOptions horizontalCentered="1" gridLines="1"/>
  <pageMargins left="0.7" right="0.7" top="0.75" bottom="0.75" header="0.3" footer="0.3"/>
  <pageSetup paperSize="9" scale="66" fitToHeight="0" orientation="landscape" r:id="rId1"/>
  <headerFooter>
    <oddFooter>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topLeftCell="A7" zoomScaleNormal="100" workbookViewId="0">
      <pane ySplit="795" topLeftCell="A33" activePane="bottomLeft"/>
      <selection activeCell="A7" sqref="A1:XFD1048576"/>
      <selection pane="bottomLeft" activeCell="G45" sqref="G45"/>
    </sheetView>
  </sheetViews>
  <sheetFormatPr defaultColWidth="9.140625" defaultRowHeight="11.25" outlineLevelRow="1"/>
  <cols>
    <col min="1" max="1" width="6.28515625" style="362" customWidth="1"/>
    <col min="2" max="2" width="14.42578125" style="237" customWidth="1"/>
    <col min="3" max="3" width="15.42578125" style="363" bestFit="1" customWidth="1"/>
    <col min="4" max="4" width="69" style="364" customWidth="1"/>
    <col min="5" max="5" width="8.7109375" style="237" customWidth="1"/>
    <col min="6" max="6" width="8.85546875" style="365" customWidth="1"/>
    <col min="7" max="7" width="11" style="366" customWidth="1"/>
    <col min="8" max="8" width="9.85546875" style="366" customWidth="1"/>
    <col min="9" max="9" width="12.7109375" style="279" customWidth="1"/>
    <col min="10" max="10" width="9.5703125" style="279" customWidth="1"/>
    <col min="11" max="11" width="10.7109375" style="237" bestFit="1" customWidth="1"/>
    <col min="12" max="16384" width="9.140625" style="237"/>
  </cols>
  <sheetData>
    <row r="1" spans="1:11">
      <c r="A1" s="230" t="s">
        <v>88</v>
      </c>
      <c r="B1" s="231"/>
      <c r="C1" s="232"/>
      <c r="D1" s="233"/>
      <c r="E1" s="232"/>
      <c r="F1" s="234"/>
      <c r="G1" s="235"/>
      <c r="H1" s="235"/>
      <c r="I1" s="232"/>
      <c r="J1" s="236"/>
    </row>
    <row r="2" spans="1:11">
      <c r="A2" s="230" t="s">
        <v>211</v>
      </c>
      <c r="B2" s="238"/>
      <c r="C2" s="238"/>
      <c r="D2" s="239"/>
      <c r="E2" s="238"/>
      <c r="F2" s="240"/>
      <c r="G2" s="241"/>
      <c r="H2" s="241"/>
      <c r="I2" s="238"/>
      <c r="J2" s="242"/>
    </row>
    <row r="3" spans="1:11">
      <c r="A3" s="243" t="s">
        <v>210</v>
      </c>
      <c r="B3" s="231"/>
      <c r="C3" s="238"/>
      <c r="D3" s="239"/>
      <c r="E3" s="238"/>
      <c r="F3" s="240"/>
      <c r="G3" s="241"/>
      <c r="H3" s="241"/>
      <c r="I3" s="238"/>
      <c r="J3" s="242"/>
    </row>
    <row r="4" spans="1:11" ht="6.6" customHeight="1">
      <c r="A4" s="244"/>
      <c r="B4" s="231"/>
      <c r="C4" s="238"/>
      <c r="D4" s="239"/>
      <c r="E4" s="245"/>
      <c r="F4" s="246"/>
      <c r="G4" s="247"/>
      <c r="H4" s="247"/>
      <c r="I4" s="248"/>
      <c r="J4" s="249"/>
    </row>
    <row r="5" spans="1:11">
      <c r="A5" s="392" t="s">
        <v>45</v>
      </c>
      <c r="B5" s="393"/>
      <c r="C5" s="393"/>
      <c r="D5" s="393"/>
      <c r="E5" s="393"/>
      <c r="F5" s="393"/>
      <c r="G5" s="393"/>
      <c r="H5" s="393"/>
      <c r="I5" s="393"/>
      <c r="J5" s="394"/>
    </row>
    <row r="6" spans="1:11" ht="12" thickBot="1">
      <c r="A6" s="250"/>
      <c r="B6" s="251"/>
      <c r="C6" s="252"/>
      <c r="D6" s="407" t="s">
        <v>145</v>
      </c>
      <c r="E6" s="407"/>
      <c r="F6" s="407"/>
      <c r="G6" s="407"/>
      <c r="H6" s="407"/>
      <c r="I6" s="407"/>
      <c r="J6" s="408"/>
    </row>
    <row r="7" spans="1:11" ht="19.5" customHeight="1">
      <c r="A7" s="395" t="s">
        <v>94</v>
      </c>
      <c r="B7" s="395" t="s">
        <v>38</v>
      </c>
      <c r="C7" s="403" t="s">
        <v>93</v>
      </c>
      <c r="D7" s="395" t="s">
        <v>39</v>
      </c>
      <c r="E7" s="395" t="s">
        <v>40</v>
      </c>
      <c r="F7" s="405" t="s">
        <v>41</v>
      </c>
      <c r="G7" s="397" t="s">
        <v>42</v>
      </c>
      <c r="H7" s="397" t="s">
        <v>43</v>
      </c>
      <c r="I7" s="399" t="s">
        <v>44</v>
      </c>
      <c r="J7" s="401" t="s">
        <v>7</v>
      </c>
    </row>
    <row r="8" spans="1:11" ht="7.5" customHeight="1">
      <c r="A8" s="396"/>
      <c r="B8" s="396"/>
      <c r="C8" s="404"/>
      <c r="D8" s="396"/>
      <c r="E8" s="396"/>
      <c r="F8" s="406"/>
      <c r="G8" s="398"/>
      <c r="H8" s="398"/>
      <c r="I8" s="400"/>
      <c r="J8" s="402"/>
    </row>
    <row r="9" spans="1:11">
      <c r="A9" s="253">
        <v>1</v>
      </c>
      <c r="B9" s="254" t="s">
        <v>51</v>
      </c>
      <c r="C9" s="255" t="s">
        <v>26</v>
      </c>
      <c r="D9" s="256" t="s">
        <v>29</v>
      </c>
      <c r="E9" s="254" t="s">
        <v>17</v>
      </c>
      <c r="F9" s="257" t="s">
        <v>18</v>
      </c>
      <c r="G9" s="258"/>
      <c r="H9" s="258">
        <f>SUM(H10)</f>
        <v>0</v>
      </c>
      <c r="I9" s="259">
        <f>SUM(I10)</f>
        <v>226.5</v>
      </c>
      <c r="J9" s="259">
        <f>TRUNC((I9+H9),2)</f>
        <v>226.5</v>
      </c>
      <c r="K9" s="237" t="s">
        <v>81</v>
      </c>
    </row>
    <row r="10" spans="1:11" ht="22.5" outlineLevel="1">
      <c r="A10" s="253"/>
      <c r="B10" s="254" t="s">
        <v>50</v>
      </c>
      <c r="C10" s="255" t="s">
        <v>26</v>
      </c>
      <c r="D10" s="256" t="s">
        <v>35</v>
      </c>
      <c r="E10" s="254" t="s">
        <v>15</v>
      </c>
      <c r="F10" s="257">
        <v>1</v>
      </c>
      <c r="G10" s="258">
        <v>218.54</v>
      </c>
      <c r="H10" s="258">
        <v>0</v>
      </c>
      <c r="I10" s="259">
        <v>226.5</v>
      </c>
      <c r="J10" s="259"/>
    </row>
    <row r="11" spans="1:11" ht="20.25" customHeight="1" outlineLevel="1">
      <c r="A11" s="260"/>
      <c r="B11" s="261"/>
      <c r="C11" s="262" t="s">
        <v>82</v>
      </c>
      <c r="D11" s="263" t="s">
        <v>84</v>
      </c>
      <c r="E11" s="261"/>
      <c r="F11" s="264"/>
      <c r="G11" s="265"/>
      <c r="H11" s="265"/>
      <c r="I11" s="266"/>
      <c r="J11" s="267"/>
    </row>
    <row r="12" spans="1:11" outlineLevel="1">
      <c r="A12" s="260"/>
      <c r="B12" s="261"/>
      <c r="C12" s="268"/>
      <c r="D12" s="269"/>
      <c r="E12" s="261"/>
      <c r="F12" s="270"/>
      <c r="G12" s="265"/>
      <c r="H12" s="265"/>
      <c r="I12" s="265"/>
      <c r="J12" s="271"/>
    </row>
    <row r="13" spans="1:11" outlineLevel="1">
      <c r="A13" s="272">
        <v>2</v>
      </c>
      <c r="B13" s="273" t="s">
        <v>189</v>
      </c>
      <c r="C13" s="274">
        <v>91677</v>
      </c>
      <c r="D13" s="275" t="s">
        <v>190</v>
      </c>
      <c r="E13" s="276" t="s">
        <v>15</v>
      </c>
      <c r="F13" s="277"/>
      <c r="G13" s="278"/>
      <c r="H13" s="278">
        <f>SUM(H14:H19)</f>
        <v>0.99</v>
      </c>
      <c r="I13" s="278">
        <f>SUM(I14:I19)</f>
        <v>89.64</v>
      </c>
      <c r="J13" s="258">
        <f>TRUNC((I13+H13),2)</f>
        <v>90.63</v>
      </c>
      <c r="K13" s="279" t="e">
        <f>#REF!</f>
        <v>#REF!</v>
      </c>
    </row>
    <row r="14" spans="1:11" outlineLevel="1">
      <c r="A14" s="280"/>
      <c r="B14" s="281" t="s">
        <v>24</v>
      </c>
      <c r="C14" s="282" t="s">
        <v>191</v>
      </c>
      <c r="D14" s="283" t="s">
        <v>192</v>
      </c>
      <c r="E14" s="284" t="s">
        <v>15</v>
      </c>
      <c r="F14" s="285">
        <v>1</v>
      </c>
      <c r="G14" s="286">
        <v>0.56000000000000005</v>
      </c>
      <c r="H14" s="287">
        <f>G14*F14</f>
        <v>0.56000000000000005</v>
      </c>
      <c r="I14" s="286">
        <v>0</v>
      </c>
      <c r="J14" s="288"/>
    </row>
    <row r="15" spans="1:11" outlineLevel="1">
      <c r="A15" s="280"/>
      <c r="B15" s="281" t="s">
        <v>19</v>
      </c>
      <c r="C15" s="282" t="s">
        <v>193</v>
      </c>
      <c r="D15" s="283" t="s">
        <v>194</v>
      </c>
      <c r="E15" s="284" t="s">
        <v>15</v>
      </c>
      <c r="F15" s="285">
        <v>1</v>
      </c>
      <c r="G15" s="286">
        <v>2.37</v>
      </c>
      <c r="H15" s="286">
        <v>0</v>
      </c>
      <c r="I15" s="286">
        <f>G15*F15</f>
        <v>2.37</v>
      </c>
      <c r="J15" s="288"/>
    </row>
    <row r="16" spans="1:11" outlineLevel="1">
      <c r="A16" s="280"/>
      <c r="B16" s="281" t="s">
        <v>24</v>
      </c>
      <c r="C16" s="282" t="s">
        <v>195</v>
      </c>
      <c r="D16" s="283" t="s">
        <v>196</v>
      </c>
      <c r="E16" s="284" t="s">
        <v>15</v>
      </c>
      <c r="F16" s="285">
        <v>1</v>
      </c>
      <c r="G16" s="286">
        <v>0.01</v>
      </c>
      <c r="H16" s="286">
        <f>G16*F16</f>
        <v>0.01</v>
      </c>
      <c r="I16" s="237"/>
      <c r="J16" s="288"/>
    </row>
    <row r="17" spans="1:11" outlineLevel="1">
      <c r="A17" s="280"/>
      <c r="B17" s="281" t="s">
        <v>24</v>
      </c>
      <c r="C17" s="282" t="s">
        <v>195</v>
      </c>
      <c r="D17" s="283" t="s">
        <v>197</v>
      </c>
      <c r="E17" s="284" t="s">
        <v>15</v>
      </c>
      <c r="F17" s="285">
        <v>1</v>
      </c>
      <c r="G17" s="286">
        <v>87.27</v>
      </c>
      <c r="H17" s="286">
        <v>0</v>
      </c>
      <c r="I17" s="286">
        <f>G17*F17</f>
        <v>87.27</v>
      </c>
      <c r="J17" s="288"/>
    </row>
    <row r="18" spans="1:11" outlineLevel="1">
      <c r="A18" s="280"/>
      <c r="B18" s="281" t="s">
        <v>24</v>
      </c>
      <c r="C18" s="282" t="s">
        <v>198</v>
      </c>
      <c r="D18" s="283" t="s">
        <v>199</v>
      </c>
      <c r="E18" s="284" t="s">
        <v>15</v>
      </c>
      <c r="F18" s="285">
        <v>1</v>
      </c>
      <c r="G18" s="286">
        <v>0.35</v>
      </c>
      <c r="H18" s="286">
        <f>G18*F18</f>
        <v>0.35</v>
      </c>
      <c r="I18" s="288"/>
      <c r="J18" s="288"/>
    </row>
    <row r="19" spans="1:11" outlineLevel="1">
      <c r="A19" s="289"/>
      <c r="B19" s="281" t="s">
        <v>24</v>
      </c>
      <c r="C19" s="282" t="s">
        <v>200</v>
      </c>
      <c r="D19" s="283" t="s">
        <v>201</v>
      </c>
      <c r="E19" s="284" t="s">
        <v>15</v>
      </c>
      <c r="F19" s="285">
        <v>1</v>
      </c>
      <c r="G19" s="286">
        <v>7.0000000000000007E-2</v>
      </c>
      <c r="H19" s="286">
        <f>G19*F19</f>
        <v>7.0000000000000007E-2</v>
      </c>
      <c r="I19" s="288"/>
      <c r="J19" s="288"/>
    </row>
    <row r="20" spans="1:11" outlineLevel="1">
      <c r="A20" s="260"/>
      <c r="B20" s="261"/>
      <c r="C20" s="268"/>
      <c r="D20" s="290"/>
      <c r="E20" s="261"/>
      <c r="F20" s="264"/>
      <c r="G20" s="265"/>
      <c r="H20" s="265"/>
      <c r="I20" s="266"/>
      <c r="J20" s="267"/>
    </row>
    <row r="21" spans="1:11" ht="22.5">
      <c r="A21" s="253">
        <v>3</v>
      </c>
      <c r="B21" s="254" t="s">
        <v>16</v>
      </c>
      <c r="C21" s="255" t="s">
        <v>49</v>
      </c>
      <c r="D21" s="256" t="s">
        <v>85</v>
      </c>
      <c r="E21" s="254" t="s">
        <v>20</v>
      </c>
      <c r="F21" s="257"/>
      <c r="G21" s="258"/>
      <c r="H21" s="258">
        <f>SUM(H22:H24)</f>
        <v>0</v>
      </c>
      <c r="I21" s="259">
        <f>SUM(I22:I24)</f>
        <v>1282.9400000000003</v>
      </c>
      <c r="J21" s="259">
        <f>TRUNC((I21+H21),2)</f>
        <v>1282.94</v>
      </c>
      <c r="K21" s="237" t="s">
        <v>81</v>
      </c>
    </row>
    <row r="22" spans="1:11" ht="33.75" outlineLevel="1">
      <c r="A22" s="280"/>
      <c r="B22" s="254" t="s">
        <v>19</v>
      </c>
      <c r="C22" s="255">
        <v>93402</v>
      </c>
      <c r="D22" s="256" t="s">
        <v>208</v>
      </c>
      <c r="E22" s="254" t="s">
        <v>20</v>
      </c>
      <c r="F22" s="291">
        <v>8</v>
      </c>
      <c r="G22" s="259">
        <v>141.11000000000001</v>
      </c>
      <c r="H22" s="259">
        <v>0</v>
      </c>
      <c r="I22" s="259">
        <f>(G22*F22)</f>
        <v>1128.8800000000001</v>
      </c>
      <c r="J22" s="259"/>
      <c r="K22" s="279"/>
    </row>
    <row r="23" spans="1:11" outlineLevel="1">
      <c r="A23" s="280"/>
      <c r="B23" s="254" t="s">
        <v>19</v>
      </c>
      <c r="C23" s="254">
        <v>88247</v>
      </c>
      <c r="D23" s="256" t="s">
        <v>22</v>
      </c>
      <c r="E23" s="254" t="s">
        <v>15</v>
      </c>
      <c r="F23" s="291">
        <v>8</v>
      </c>
      <c r="G23" s="258">
        <v>16.61</v>
      </c>
      <c r="H23" s="258">
        <v>0</v>
      </c>
      <c r="I23" s="259">
        <f>TRUNC((G23*F23),2)</f>
        <v>132.88</v>
      </c>
      <c r="J23" s="259"/>
      <c r="K23" s="279"/>
    </row>
    <row r="24" spans="1:11" outlineLevel="1">
      <c r="A24" s="280"/>
      <c r="B24" s="254" t="s">
        <v>19</v>
      </c>
      <c r="C24" s="292" t="s">
        <v>142</v>
      </c>
      <c r="D24" s="256" t="s">
        <v>143</v>
      </c>
      <c r="E24" s="254" t="s">
        <v>15</v>
      </c>
      <c r="F24" s="257">
        <v>1</v>
      </c>
      <c r="G24" s="258">
        <v>21.18</v>
      </c>
      <c r="H24" s="258">
        <v>0</v>
      </c>
      <c r="I24" s="259">
        <f>TRUNC((G24*F24),2)</f>
        <v>21.18</v>
      </c>
      <c r="J24" s="259"/>
    </row>
    <row r="25" spans="1:11" outlineLevel="1">
      <c r="A25" s="280"/>
      <c r="B25" s="254"/>
      <c r="C25" s="292"/>
      <c r="D25" s="256"/>
      <c r="E25" s="254"/>
      <c r="F25" s="257"/>
      <c r="G25" s="258"/>
      <c r="H25" s="258"/>
      <c r="I25" s="259"/>
      <c r="J25" s="259"/>
    </row>
    <row r="26" spans="1:11" outlineLevel="1">
      <c r="A26" s="253">
        <v>4</v>
      </c>
      <c r="B26" s="254" t="s">
        <v>146</v>
      </c>
      <c r="C26" s="254" t="s">
        <v>147</v>
      </c>
      <c r="D26" s="256" t="s">
        <v>148</v>
      </c>
      <c r="E26" s="254" t="s">
        <v>149</v>
      </c>
      <c r="F26" s="257" t="s">
        <v>18</v>
      </c>
      <c r="G26" s="258"/>
      <c r="H26" s="258">
        <f>SUM(H27:H33)</f>
        <v>671.33</v>
      </c>
      <c r="I26" s="259">
        <f>SUM(I27:I33)</f>
        <v>48.49</v>
      </c>
      <c r="J26" s="259">
        <f>TRUNC((I26+H26),2)</f>
        <v>719.82</v>
      </c>
    </row>
    <row r="27" spans="1:11" outlineLevel="1">
      <c r="A27" s="293"/>
      <c r="B27" s="254" t="s">
        <v>19</v>
      </c>
      <c r="C27" s="254">
        <v>88262</v>
      </c>
      <c r="D27" s="256" t="s">
        <v>150</v>
      </c>
      <c r="E27" s="254" t="s">
        <v>15</v>
      </c>
      <c r="F27" s="257">
        <v>1</v>
      </c>
      <c r="G27" s="258">
        <v>18.510000000000002</v>
      </c>
      <c r="H27" s="258">
        <v>0</v>
      </c>
      <c r="I27" s="259">
        <f>TRUNC((G27*F27),2)</f>
        <v>18.510000000000002</v>
      </c>
      <c r="J27" s="259"/>
    </row>
    <row r="28" spans="1:11" outlineLevel="1">
      <c r="A28" s="293"/>
      <c r="B28" s="254" t="s">
        <v>19</v>
      </c>
      <c r="C28" s="254" t="s">
        <v>34</v>
      </c>
      <c r="D28" s="256" t="s">
        <v>21</v>
      </c>
      <c r="E28" s="254" t="s">
        <v>15</v>
      </c>
      <c r="F28" s="257">
        <v>2</v>
      </c>
      <c r="G28" s="258">
        <v>14.99</v>
      </c>
      <c r="H28" s="258">
        <v>0</v>
      </c>
      <c r="I28" s="259">
        <f>TRUNC((G28*F28),2)</f>
        <v>29.98</v>
      </c>
      <c r="J28" s="259"/>
    </row>
    <row r="29" spans="1:11" ht="22.5" outlineLevel="1">
      <c r="A29" s="293"/>
      <c r="B29" s="254" t="s">
        <v>19</v>
      </c>
      <c r="C29" s="254" t="s">
        <v>151</v>
      </c>
      <c r="D29" s="256" t="s">
        <v>152</v>
      </c>
      <c r="E29" s="254" t="s">
        <v>47</v>
      </c>
      <c r="F29" s="257">
        <v>0.01</v>
      </c>
      <c r="G29" s="258">
        <v>370.07</v>
      </c>
      <c r="H29" s="258">
        <f>TRUNC((G29*F29),2)</f>
        <v>3.7</v>
      </c>
      <c r="I29" s="259">
        <v>0</v>
      </c>
      <c r="J29" s="259"/>
    </row>
    <row r="30" spans="1:11" ht="22.5" outlineLevel="1">
      <c r="A30" s="293"/>
      <c r="B30" s="254" t="s">
        <v>24</v>
      </c>
      <c r="C30" s="254" t="s">
        <v>153</v>
      </c>
      <c r="D30" s="256" t="s">
        <v>154</v>
      </c>
      <c r="E30" s="254" t="s">
        <v>1</v>
      </c>
      <c r="F30" s="257">
        <v>1</v>
      </c>
      <c r="G30" s="258">
        <v>3.6</v>
      </c>
      <c r="H30" s="258">
        <f>TRUNC((G30*F30),2)</f>
        <v>3.6</v>
      </c>
      <c r="I30" s="259">
        <v>0</v>
      </c>
      <c r="J30" s="259"/>
    </row>
    <row r="31" spans="1:11" outlineLevel="1">
      <c r="A31" s="293"/>
      <c r="B31" s="254" t="s">
        <v>24</v>
      </c>
      <c r="C31" s="254" t="s">
        <v>155</v>
      </c>
      <c r="D31" s="256" t="s">
        <v>156</v>
      </c>
      <c r="E31" s="254" t="s">
        <v>1</v>
      </c>
      <c r="F31" s="257">
        <v>4</v>
      </c>
      <c r="G31" s="258">
        <v>5.77</v>
      </c>
      <c r="H31" s="258">
        <f>TRUNC((G31*F31),2)</f>
        <v>23.08</v>
      </c>
      <c r="I31" s="259">
        <v>0</v>
      </c>
      <c r="J31" s="259"/>
    </row>
    <row r="32" spans="1:11" ht="22.5" outlineLevel="1">
      <c r="A32" s="293"/>
      <c r="B32" s="254" t="s">
        <v>24</v>
      </c>
      <c r="C32" s="254" t="s">
        <v>157</v>
      </c>
      <c r="D32" s="256" t="s">
        <v>158</v>
      </c>
      <c r="E32" s="254" t="s">
        <v>149</v>
      </c>
      <c r="F32" s="257">
        <v>1</v>
      </c>
      <c r="G32" s="258">
        <v>640</v>
      </c>
      <c r="H32" s="258">
        <f>TRUNC((G32*F32),2)</f>
        <v>640</v>
      </c>
      <c r="I32" s="259">
        <v>0</v>
      </c>
      <c r="J32" s="259"/>
    </row>
    <row r="33" spans="1:11" outlineLevel="1">
      <c r="A33" s="293"/>
      <c r="B33" s="254" t="s">
        <v>24</v>
      </c>
      <c r="C33" s="254" t="s">
        <v>159</v>
      </c>
      <c r="D33" s="256" t="s">
        <v>160</v>
      </c>
      <c r="E33" s="254" t="s">
        <v>161</v>
      </c>
      <c r="F33" s="257">
        <v>0.11</v>
      </c>
      <c r="G33" s="258">
        <v>8.64</v>
      </c>
      <c r="H33" s="258">
        <f>TRUNC((G33*F33),2)</f>
        <v>0.95</v>
      </c>
      <c r="I33" s="259">
        <v>0</v>
      </c>
      <c r="J33" s="259"/>
    </row>
    <row r="34" spans="1:11" outlineLevel="1">
      <c r="A34" s="260"/>
      <c r="B34" s="261"/>
      <c r="C34" s="268"/>
      <c r="D34" s="290"/>
      <c r="E34" s="261"/>
      <c r="F34" s="264"/>
      <c r="G34" s="265"/>
      <c r="H34" s="265"/>
      <c r="I34" s="266"/>
      <c r="J34" s="267"/>
    </row>
    <row r="35" spans="1:11" ht="22.5">
      <c r="A35" s="294">
        <v>5</v>
      </c>
      <c r="B35" s="295" t="s">
        <v>25</v>
      </c>
      <c r="C35" s="295" t="s">
        <v>57</v>
      </c>
      <c r="D35" s="296" t="s">
        <v>55</v>
      </c>
      <c r="E35" s="297" t="s">
        <v>31</v>
      </c>
      <c r="F35" s="298"/>
      <c r="G35" s="299"/>
      <c r="H35" s="300">
        <f>SUM(H36:H38)</f>
        <v>4.87</v>
      </c>
      <c r="I35" s="301">
        <f>SUM(I36:I38)</f>
        <v>5.7200000000000006</v>
      </c>
      <c r="J35" s="259">
        <f>TRUNC((I35+H35),2)</f>
        <v>10.59</v>
      </c>
    </row>
    <row r="36" spans="1:11">
      <c r="A36" s="260"/>
      <c r="B36" s="254" t="s">
        <v>19</v>
      </c>
      <c r="C36" s="254" t="s">
        <v>33</v>
      </c>
      <c r="D36" s="256" t="s">
        <v>22</v>
      </c>
      <c r="E36" s="254" t="s">
        <v>15</v>
      </c>
      <c r="F36" s="257">
        <v>0.15</v>
      </c>
      <c r="G36" s="302">
        <v>16.61</v>
      </c>
      <c r="H36" s="258">
        <v>0</v>
      </c>
      <c r="I36" s="259">
        <f>TRUNC((G36*F36),2)</f>
        <v>2.4900000000000002</v>
      </c>
      <c r="J36" s="302"/>
    </row>
    <row r="37" spans="1:11">
      <c r="A37" s="260"/>
      <c r="B37" s="254" t="s">
        <v>19</v>
      </c>
      <c r="C37" s="254" t="s">
        <v>32</v>
      </c>
      <c r="D37" s="256" t="s">
        <v>23</v>
      </c>
      <c r="E37" s="254" t="s">
        <v>15</v>
      </c>
      <c r="F37" s="257">
        <v>0.15</v>
      </c>
      <c r="G37" s="302">
        <v>21.57</v>
      </c>
      <c r="H37" s="258">
        <v>0</v>
      </c>
      <c r="I37" s="259">
        <f>TRUNC((G37*F37),2)</f>
        <v>3.23</v>
      </c>
      <c r="J37" s="302"/>
    </row>
    <row r="38" spans="1:11">
      <c r="A38" s="260"/>
      <c r="B38" s="254" t="s">
        <v>24</v>
      </c>
      <c r="C38" s="255" t="s">
        <v>26</v>
      </c>
      <c r="D38" s="256" t="s">
        <v>56</v>
      </c>
      <c r="E38" s="254" t="s">
        <v>17</v>
      </c>
      <c r="F38" s="257">
        <v>1</v>
      </c>
      <c r="G38" s="258">
        <v>4.87</v>
      </c>
      <c r="H38" s="258">
        <f>TRUNC((G38*F38),2)</f>
        <v>4.87</v>
      </c>
      <c r="I38" s="259">
        <v>0</v>
      </c>
      <c r="J38" s="259"/>
    </row>
    <row r="39" spans="1:11" outlineLevel="1">
      <c r="A39" s="260"/>
      <c r="B39" s="261"/>
      <c r="C39" s="268"/>
      <c r="D39" s="290"/>
      <c r="E39" s="261"/>
      <c r="F39" s="264"/>
      <c r="G39" s="303"/>
      <c r="H39" s="265"/>
      <c r="I39" s="266"/>
      <c r="J39" s="304"/>
    </row>
    <row r="40" spans="1:11" outlineLevel="1">
      <c r="A40" s="260"/>
      <c r="B40" s="268"/>
      <c r="C40" s="262" t="s">
        <v>82</v>
      </c>
      <c r="D40" s="263" t="s">
        <v>83</v>
      </c>
      <c r="E40" s="261"/>
      <c r="F40" s="264"/>
      <c r="G40" s="265"/>
      <c r="H40" s="265"/>
      <c r="I40" s="266"/>
      <c r="J40" s="267"/>
    </row>
    <row r="41" spans="1:11" ht="191.25" outlineLevel="1">
      <c r="A41" s="253">
        <v>6</v>
      </c>
      <c r="B41" s="254" t="s">
        <v>25</v>
      </c>
      <c r="C41" s="255" t="s">
        <v>49</v>
      </c>
      <c r="D41" s="256" t="s">
        <v>204</v>
      </c>
      <c r="E41" s="254" t="s">
        <v>17</v>
      </c>
      <c r="F41" s="257" t="s">
        <v>18</v>
      </c>
      <c r="G41" s="258"/>
      <c r="H41" s="300">
        <f>SUM(H42:H44)</f>
        <v>1095</v>
      </c>
      <c r="I41" s="301">
        <f>SUM(I42:I44)</f>
        <v>9.2899999999999991</v>
      </c>
      <c r="J41" s="259">
        <f>TRUNC((I41+H41),2)</f>
        <v>1104.29</v>
      </c>
    </row>
    <row r="42" spans="1:11" outlineLevel="1">
      <c r="A42" s="280"/>
      <c r="B42" s="254" t="s">
        <v>19</v>
      </c>
      <c r="C42" s="254" t="s">
        <v>32</v>
      </c>
      <c r="D42" s="256" t="s">
        <v>23</v>
      </c>
      <c r="E42" s="254" t="s">
        <v>15</v>
      </c>
      <c r="F42" s="257">
        <v>0.25</v>
      </c>
      <c r="G42" s="258">
        <v>21.57</v>
      </c>
      <c r="H42" s="258">
        <v>0</v>
      </c>
      <c r="I42" s="259">
        <f>TRUNC((G42*F42),2)</f>
        <v>5.39</v>
      </c>
      <c r="J42" s="259"/>
    </row>
    <row r="43" spans="1:11" outlineLevel="1">
      <c r="A43" s="280"/>
      <c r="B43" s="254" t="s">
        <v>19</v>
      </c>
      <c r="C43" s="254" t="s">
        <v>34</v>
      </c>
      <c r="D43" s="256" t="s">
        <v>21</v>
      </c>
      <c r="E43" s="254" t="s">
        <v>15</v>
      </c>
      <c r="F43" s="257">
        <v>0.25</v>
      </c>
      <c r="G43" s="302">
        <v>15.6</v>
      </c>
      <c r="H43" s="258">
        <v>0</v>
      </c>
      <c r="I43" s="259">
        <f>TRUNC((G43*F43),2)</f>
        <v>3.9</v>
      </c>
      <c r="J43" s="259"/>
    </row>
    <row r="44" spans="1:11" ht="180" outlineLevel="1">
      <c r="A44" s="280"/>
      <c r="B44" s="254" t="s">
        <v>24</v>
      </c>
      <c r="C44" s="254" t="s">
        <v>87</v>
      </c>
      <c r="D44" s="256" t="s">
        <v>204</v>
      </c>
      <c r="E44" s="254" t="s">
        <v>17</v>
      </c>
      <c r="F44" s="257">
        <v>1</v>
      </c>
      <c r="G44" s="258">
        <v>1095</v>
      </c>
      <c r="H44" s="258">
        <f>TRUNC((G44*F44),2)</f>
        <v>1095</v>
      </c>
      <c r="I44" s="259">
        <v>0</v>
      </c>
      <c r="J44" s="259"/>
    </row>
    <row r="45" spans="1:11" outlineLevel="1">
      <c r="A45" s="260"/>
      <c r="B45" s="261"/>
      <c r="C45" s="262" t="s">
        <v>82</v>
      </c>
      <c r="D45" s="263" t="s">
        <v>86</v>
      </c>
      <c r="E45" s="261"/>
      <c r="F45" s="264"/>
      <c r="G45" s="265"/>
      <c r="H45" s="265"/>
      <c r="I45" s="266"/>
      <c r="J45" s="267"/>
    </row>
    <row r="46" spans="1:11" outlineLevel="1">
      <c r="A46" s="260"/>
      <c r="B46" s="261"/>
      <c r="C46" s="262"/>
      <c r="D46" s="263"/>
      <c r="E46" s="261"/>
      <c r="F46" s="264"/>
      <c r="G46" s="265"/>
      <c r="H46" s="265"/>
      <c r="I46" s="266"/>
      <c r="J46" s="267"/>
    </row>
    <row r="47" spans="1:11" ht="22.5" outlineLevel="1">
      <c r="A47" s="253">
        <v>7</v>
      </c>
      <c r="B47" s="305" t="s">
        <v>25</v>
      </c>
      <c r="C47" s="305" t="s">
        <v>58</v>
      </c>
      <c r="D47" s="306" t="s">
        <v>59</v>
      </c>
      <c r="E47" s="305" t="s">
        <v>1</v>
      </c>
      <c r="F47" s="307" t="s">
        <v>18</v>
      </c>
      <c r="G47" s="308"/>
      <c r="H47" s="308">
        <f>SUM(H48:H51)</f>
        <v>4.5399999999999991</v>
      </c>
      <c r="I47" s="309">
        <f>SUM(I48:I51)</f>
        <v>1.1299999999999999</v>
      </c>
      <c r="J47" s="259">
        <f>TRUNC((I47+H47),2)</f>
        <v>5.67</v>
      </c>
      <c r="K47" s="237" t="s">
        <v>81</v>
      </c>
    </row>
    <row r="48" spans="1:11" outlineLevel="1">
      <c r="A48" s="310"/>
      <c r="B48" s="254" t="s">
        <v>19</v>
      </c>
      <c r="C48" s="254" t="s">
        <v>33</v>
      </c>
      <c r="D48" s="256" t="s">
        <v>22</v>
      </c>
      <c r="E48" s="254" t="s">
        <v>15</v>
      </c>
      <c r="F48" s="257">
        <v>0.03</v>
      </c>
      <c r="G48" s="258">
        <v>16.61</v>
      </c>
      <c r="H48" s="258">
        <v>0</v>
      </c>
      <c r="I48" s="259">
        <f>TRUNC((G48*F48),2)</f>
        <v>0.49</v>
      </c>
      <c r="J48" s="259"/>
    </row>
    <row r="49" spans="1:10" outlineLevel="1">
      <c r="A49" s="310"/>
      <c r="B49" s="254" t="s">
        <v>19</v>
      </c>
      <c r="C49" s="254" t="s">
        <v>32</v>
      </c>
      <c r="D49" s="256" t="s">
        <v>23</v>
      </c>
      <c r="E49" s="254" t="s">
        <v>15</v>
      </c>
      <c r="F49" s="257">
        <v>0.03</v>
      </c>
      <c r="G49" s="258">
        <v>21.57</v>
      </c>
      <c r="H49" s="258">
        <v>0</v>
      </c>
      <c r="I49" s="259">
        <f>TRUNC((G49*F49),2)</f>
        <v>0.64</v>
      </c>
      <c r="J49" s="259"/>
    </row>
    <row r="50" spans="1:10" ht="22.5" outlineLevel="1">
      <c r="A50" s="310"/>
      <c r="B50" s="254" t="s">
        <v>24</v>
      </c>
      <c r="C50" s="254">
        <v>1014</v>
      </c>
      <c r="D50" s="256" t="s">
        <v>60</v>
      </c>
      <c r="E50" s="254" t="s">
        <v>1</v>
      </c>
      <c r="F50" s="257">
        <v>1.19</v>
      </c>
      <c r="G50" s="258">
        <v>3.8</v>
      </c>
      <c r="H50" s="258">
        <f>TRUNC((G50*F50),2)</f>
        <v>4.5199999999999996</v>
      </c>
      <c r="I50" s="259">
        <v>0</v>
      </c>
      <c r="J50" s="254"/>
    </row>
    <row r="51" spans="1:10" outlineLevel="1">
      <c r="A51" s="310"/>
      <c r="B51" s="254" t="s">
        <v>24</v>
      </c>
      <c r="C51" s="254">
        <v>21127</v>
      </c>
      <c r="D51" s="256" t="s">
        <v>37</v>
      </c>
      <c r="E51" s="254" t="s">
        <v>17</v>
      </c>
      <c r="F51" s="257">
        <v>8.9999999999999993E-3</v>
      </c>
      <c r="G51" s="258">
        <v>2.4500000000000002</v>
      </c>
      <c r="H51" s="258">
        <f>TRUNC((G51*F51),2)</f>
        <v>0.02</v>
      </c>
      <c r="I51" s="259">
        <v>0</v>
      </c>
      <c r="J51" s="254"/>
    </row>
    <row r="52" spans="1:10" outlineLevel="1">
      <c r="A52" s="310"/>
      <c r="B52" s="311"/>
      <c r="C52" s="311"/>
      <c r="D52" s="312"/>
      <c r="E52" s="311"/>
      <c r="F52" s="307"/>
      <c r="G52" s="308"/>
      <c r="H52" s="308"/>
      <c r="I52" s="259"/>
      <c r="J52" s="261"/>
    </row>
    <row r="53" spans="1:10" ht="22.5">
      <c r="A53" s="253">
        <v>8</v>
      </c>
      <c r="B53" s="305" t="s">
        <v>25</v>
      </c>
      <c r="C53" s="313">
        <v>91929</v>
      </c>
      <c r="D53" s="314" t="s">
        <v>162</v>
      </c>
      <c r="E53" s="305" t="s">
        <v>1</v>
      </c>
      <c r="F53" s="305" t="s">
        <v>18</v>
      </c>
      <c r="G53" s="305"/>
      <c r="H53" s="309">
        <f>SUM(H54:H59)</f>
        <v>13.705300000000001</v>
      </c>
      <c r="I53" s="309">
        <f>SUM(I54:I59)</f>
        <v>3.5125600000000001</v>
      </c>
      <c r="J53" s="309">
        <f>I53+H53</f>
        <v>17.217860000000002</v>
      </c>
    </row>
    <row r="54" spans="1:10">
      <c r="A54" s="315"/>
      <c r="B54" s="254" t="s">
        <v>19</v>
      </c>
      <c r="C54" s="254" t="s">
        <v>33</v>
      </c>
      <c r="D54" s="316" t="s">
        <v>22</v>
      </c>
      <c r="E54" s="254" t="s">
        <v>15</v>
      </c>
      <c r="F54" s="317">
        <v>0.04</v>
      </c>
      <c r="G54" s="254">
        <v>16.61</v>
      </c>
      <c r="H54" s="259">
        <v>0</v>
      </c>
      <c r="I54" s="259">
        <f>(G54*F54)</f>
        <v>0.66439999999999999</v>
      </c>
      <c r="J54" s="259"/>
    </row>
    <row r="55" spans="1:10">
      <c r="A55" s="315"/>
      <c r="B55" s="254" t="s">
        <v>19</v>
      </c>
      <c r="C55" s="254" t="s">
        <v>32</v>
      </c>
      <c r="D55" s="316" t="s">
        <v>23</v>
      </c>
      <c r="E55" s="254" t="s">
        <v>15</v>
      </c>
      <c r="F55" s="317">
        <v>0.04</v>
      </c>
      <c r="G55" s="318">
        <v>21.57</v>
      </c>
      <c r="H55" s="259">
        <v>0</v>
      </c>
      <c r="I55" s="259">
        <f>(G55*F55)</f>
        <v>0.86280000000000001</v>
      </c>
      <c r="J55" s="259"/>
    </row>
    <row r="56" spans="1:10" ht="22.5">
      <c r="A56" s="315"/>
      <c r="B56" s="254" t="s">
        <v>24</v>
      </c>
      <c r="C56" s="254">
        <v>1021</v>
      </c>
      <c r="D56" s="319" t="s">
        <v>163</v>
      </c>
      <c r="E56" s="254" t="s">
        <v>1</v>
      </c>
      <c r="F56" s="317">
        <v>1.19</v>
      </c>
      <c r="G56" s="254">
        <v>4.9800000000000004</v>
      </c>
      <c r="H56" s="254">
        <f>G56*F56</f>
        <v>5.9262000000000006</v>
      </c>
      <c r="I56" s="259">
        <v>0</v>
      </c>
      <c r="J56" s="254"/>
    </row>
    <row r="57" spans="1:10">
      <c r="A57" s="315"/>
      <c r="B57" s="254" t="s">
        <v>24</v>
      </c>
      <c r="C57" s="254" t="s">
        <v>36</v>
      </c>
      <c r="D57" s="316" t="s">
        <v>37</v>
      </c>
      <c r="E57" s="254" t="s">
        <v>17</v>
      </c>
      <c r="F57" s="317">
        <v>8.9999999999999993E-3</v>
      </c>
      <c r="G57" s="254">
        <v>2.4500000000000002</v>
      </c>
      <c r="H57" s="254">
        <f>G57*F57</f>
        <v>2.205E-2</v>
      </c>
      <c r="I57" s="259">
        <v>0</v>
      </c>
      <c r="J57" s="254"/>
    </row>
    <row r="58" spans="1:10">
      <c r="A58" s="315"/>
      <c r="B58" s="311"/>
      <c r="C58" s="311"/>
      <c r="D58" s="320"/>
      <c r="E58" s="311"/>
      <c r="F58" s="311"/>
      <c r="G58" s="311"/>
      <c r="H58" s="311"/>
      <c r="I58" s="309"/>
      <c r="J58" s="311"/>
    </row>
    <row r="59" spans="1:10" ht="22.5">
      <c r="A59" s="253">
        <v>9</v>
      </c>
      <c r="B59" s="305" t="s">
        <v>25</v>
      </c>
      <c r="C59" s="313">
        <v>91931</v>
      </c>
      <c r="D59" s="321" t="s">
        <v>164</v>
      </c>
      <c r="E59" s="305" t="s">
        <v>1</v>
      </c>
      <c r="F59" s="305" t="s">
        <v>18</v>
      </c>
      <c r="G59" s="305"/>
      <c r="H59" s="309">
        <f>SUM(H60:H63)</f>
        <v>7.7570499999999996</v>
      </c>
      <c r="I59" s="309">
        <f>SUM(I60:I63)</f>
        <v>1.98536</v>
      </c>
      <c r="J59" s="309">
        <f>I59+H59</f>
        <v>9.7424099999999996</v>
      </c>
    </row>
    <row r="60" spans="1:10">
      <c r="A60" s="315"/>
      <c r="B60" s="254" t="s">
        <v>19</v>
      </c>
      <c r="C60" s="254" t="s">
        <v>33</v>
      </c>
      <c r="D60" s="316" t="s">
        <v>22</v>
      </c>
      <c r="E60" s="254" t="s">
        <v>15</v>
      </c>
      <c r="F60" s="317">
        <v>5.1999999999999998E-2</v>
      </c>
      <c r="G60" s="254">
        <v>16.61</v>
      </c>
      <c r="H60" s="259">
        <v>0</v>
      </c>
      <c r="I60" s="259">
        <f>(G60*F60)</f>
        <v>0.86371999999999993</v>
      </c>
      <c r="J60" s="259"/>
    </row>
    <row r="61" spans="1:10">
      <c r="A61" s="315"/>
      <c r="B61" s="254" t="s">
        <v>19</v>
      </c>
      <c r="C61" s="254" t="s">
        <v>32</v>
      </c>
      <c r="D61" s="316" t="s">
        <v>23</v>
      </c>
      <c r="E61" s="254" t="s">
        <v>15</v>
      </c>
      <c r="F61" s="317">
        <v>5.1999999999999998E-2</v>
      </c>
      <c r="G61" s="318">
        <v>21.57</v>
      </c>
      <c r="H61" s="259">
        <v>0</v>
      </c>
      <c r="I61" s="259">
        <f>(G61*F61)</f>
        <v>1.12164</v>
      </c>
      <c r="J61" s="259"/>
    </row>
    <row r="62" spans="1:10" ht="22.5">
      <c r="A62" s="315"/>
      <c r="B62" s="254" t="s">
        <v>24</v>
      </c>
      <c r="C62" s="254">
        <v>994</v>
      </c>
      <c r="D62" s="319" t="s">
        <v>165</v>
      </c>
      <c r="E62" s="254" t="s">
        <v>1</v>
      </c>
      <c r="F62" s="317">
        <v>1.19</v>
      </c>
      <c r="G62" s="318">
        <v>6.5</v>
      </c>
      <c r="H62" s="254">
        <f>G62*F62</f>
        <v>7.7349999999999994</v>
      </c>
      <c r="I62" s="259">
        <v>0</v>
      </c>
      <c r="J62" s="254"/>
    </row>
    <row r="63" spans="1:10">
      <c r="A63" s="315"/>
      <c r="B63" s="254" t="s">
        <v>24</v>
      </c>
      <c r="C63" s="254" t="s">
        <v>36</v>
      </c>
      <c r="D63" s="316" t="s">
        <v>37</v>
      </c>
      <c r="E63" s="254" t="s">
        <v>17</v>
      </c>
      <c r="F63" s="317">
        <v>8.9999999999999993E-3</v>
      </c>
      <c r="G63" s="254">
        <v>2.4500000000000002</v>
      </c>
      <c r="H63" s="254">
        <f>G63*F63</f>
        <v>2.205E-2</v>
      </c>
      <c r="I63" s="259">
        <v>0</v>
      </c>
      <c r="J63" s="254"/>
    </row>
    <row r="64" spans="1:10" s="231" customFormat="1" outlineLevel="1">
      <c r="A64" s="322"/>
      <c r="B64" s="323"/>
      <c r="C64" s="323"/>
      <c r="D64" s="324"/>
      <c r="E64" s="323"/>
      <c r="F64" s="325"/>
      <c r="G64" s="326"/>
      <c r="H64" s="326"/>
      <c r="I64" s="327"/>
      <c r="J64" s="328"/>
    </row>
    <row r="65" spans="1:11" ht="22.5">
      <c r="A65" s="253">
        <v>10</v>
      </c>
      <c r="B65" s="305" t="s">
        <v>25</v>
      </c>
      <c r="C65" s="313">
        <v>91933</v>
      </c>
      <c r="D65" s="329" t="s">
        <v>122</v>
      </c>
      <c r="E65" s="305" t="s">
        <v>1</v>
      </c>
      <c r="F65" s="305" t="s">
        <v>18</v>
      </c>
      <c r="G65" s="305"/>
      <c r="H65" s="309">
        <f>SUM(H66:H69)</f>
        <v>9.8871499999999983</v>
      </c>
      <c r="I65" s="309">
        <f>SUM(I66:I69)</f>
        <v>2.9398599999999999</v>
      </c>
      <c r="J65" s="309">
        <f>I65+H65</f>
        <v>12.827009999999998</v>
      </c>
    </row>
    <row r="66" spans="1:11">
      <c r="A66" s="315"/>
      <c r="B66" s="254" t="s">
        <v>19</v>
      </c>
      <c r="C66" s="254" t="s">
        <v>33</v>
      </c>
      <c r="D66" s="319" t="s">
        <v>22</v>
      </c>
      <c r="E66" s="254" t="s">
        <v>15</v>
      </c>
      <c r="F66" s="254">
        <v>7.6999999999999999E-2</v>
      </c>
      <c r="G66" s="254">
        <v>16.61</v>
      </c>
      <c r="H66" s="259">
        <v>0</v>
      </c>
      <c r="I66" s="259">
        <f>(G66*F66)</f>
        <v>1.2789699999999999</v>
      </c>
      <c r="J66" s="259"/>
    </row>
    <row r="67" spans="1:11">
      <c r="A67" s="315"/>
      <c r="B67" s="254" t="s">
        <v>19</v>
      </c>
      <c r="C67" s="254" t="s">
        <v>32</v>
      </c>
      <c r="D67" s="319" t="s">
        <v>23</v>
      </c>
      <c r="E67" s="254" t="s">
        <v>15</v>
      </c>
      <c r="F67" s="254">
        <v>7.6999999999999999E-2</v>
      </c>
      <c r="G67" s="318">
        <v>21.57</v>
      </c>
      <c r="H67" s="259">
        <v>0</v>
      </c>
      <c r="I67" s="259">
        <f>(G67*F67)</f>
        <v>1.66089</v>
      </c>
      <c r="J67" s="259"/>
    </row>
    <row r="68" spans="1:11" ht="22.5">
      <c r="A68" s="315"/>
      <c r="B68" s="254" t="s">
        <v>24</v>
      </c>
      <c r="C68" s="254" t="s">
        <v>123</v>
      </c>
      <c r="D68" s="319" t="s">
        <v>124</v>
      </c>
      <c r="E68" s="254" t="s">
        <v>1</v>
      </c>
      <c r="F68" s="254">
        <v>1.19</v>
      </c>
      <c r="G68" s="254">
        <v>8.2899999999999991</v>
      </c>
      <c r="H68" s="254">
        <f>G68*F68</f>
        <v>9.8650999999999982</v>
      </c>
      <c r="I68" s="259">
        <v>0</v>
      </c>
      <c r="J68" s="254"/>
    </row>
    <row r="69" spans="1:11">
      <c r="A69" s="315"/>
      <c r="B69" s="254" t="s">
        <v>24</v>
      </c>
      <c r="C69" s="254" t="s">
        <v>36</v>
      </c>
      <c r="D69" s="319" t="s">
        <v>37</v>
      </c>
      <c r="E69" s="254" t="s">
        <v>17</v>
      </c>
      <c r="F69" s="254">
        <v>8.9999999999999993E-3</v>
      </c>
      <c r="G69" s="254">
        <v>2.4500000000000002</v>
      </c>
      <c r="H69" s="254">
        <f>G69*F69</f>
        <v>2.205E-2</v>
      </c>
      <c r="I69" s="259">
        <v>0</v>
      </c>
      <c r="J69" s="254"/>
    </row>
    <row r="70" spans="1:11" outlineLevel="1">
      <c r="A70" s="260"/>
      <c r="B70" s="261"/>
      <c r="C70" s="261"/>
      <c r="D70" s="290"/>
      <c r="E70" s="261"/>
      <c r="F70" s="264"/>
      <c r="G70" s="265"/>
      <c r="H70" s="265"/>
      <c r="I70" s="266"/>
      <c r="J70" s="267"/>
    </row>
    <row r="71" spans="1:11" ht="22.5" outlineLevel="1">
      <c r="A71" s="253">
        <v>11</v>
      </c>
      <c r="B71" s="305" t="s">
        <v>25</v>
      </c>
      <c r="C71" s="313">
        <v>83399</v>
      </c>
      <c r="D71" s="306" t="s">
        <v>61</v>
      </c>
      <c r="E71" s="305" t="s">
        <v>17</v>
      </c>
      <c r="F71" s="307" t="s">
        <v>18</v>
      </c>
      <c r="G71" s="308"/>
      <c r="H71" s="308">
        <f>SUM(H72:H74)</f>
        <v>32.89</v>
      </c>
      <c r="I71" s="309">
        <f>SUM(I72:I74)</f>
        <v>13</v>
      </c>
      <c r="J71" s="259">
        <f>TRUNC((I71+H71),2)</f>
        <v>45.89</v>
      </c>
      <c r="K71" s="237" t="s">
        <v>80</v>
      </c>
    </row>
    <row r="72" spans="1:11" outlineLevel="1">
      <c r="A72" s="310"/>
      <c r="B72" s="254" t="s">
        <v>19</v>
      </c>
      <c r="C72" s="254">
        <v>88316</v>
      </c>
      <c r="D72" s="256" t="s">
        <v>21</v>
      </c>
      <c r="E72" s="254" t="s">
        <v>15</v>
      </c>
      <c r="F72" s="257">
        <v>0.35</v>
      </c>
      <c r="G72" s="302">
        <v>15.6</v>
      </c>
      <c r="H72" s="258">
        <v>0</v>
      </c>
      <c r="I72" s="259">
        <f>TRUNC((G72*F72),2)</f>
        <v>5.46</v>
      </c>
      <c r="J72" s="259"/>
    </row>
    <row r="73" spans="1:11" outlineLevel="1">
      <c r="A73" s="310"/>
      <c r="B73" s="254" t="s">
        <v>19</v>
      </c>
      <c r="C73" s="254" t="s">
        <v>32</v>
      </c>
      <c r="D73" s="256" t="s">
        <v>23</v>
      </c>
      <c r="E73" s="254" t="s">
        <v>15</v>
      </c>
      <c r="F73" s="257">
        <v>0.35</v>
      </c>
      <c r="G73" s="258">
        <v>21.57</v>
      </c>
      <c r="H73" s="258">
        <v>0</v>
      </c>
      <c r="I73" s="259">
        <f>TRUNC((G73*F73),2)</f>
        <v>7.54</v>
      </c>
      <c r="J73" s="259"/>
    </row>
    <row r="74" spans="1:11" outlineLevel="1">
      <c r="A74" s="310"/>
      <c r="B74" s="254" t="s">
        <v>24</v>
      </c>
      <c r="C74" s="254">
        <v>2510</v>
      </c>
      <c r="D74" s="256" t="s">
        <v>62</v>
      </c>
      <c r="E74" s="254" t="s">
        <v>17</v>
      </c>
      <c r="F74" s="257">
        <v>1</v>
      </c>
      <c r="G74" s="258">
        <v>32.89</v>
      </c>
      <c r="H74" s="258">
        <f>TRUNC((G74*F74),2)</f>
        <v>32.89</v>
      </c>
      <c r="I74" s="259">
        <v>0</v>
      </c>
      <c r="J74" s="254"/>
    </row>
    <row r="75" spans="1:11" outlineLevel="1">
      <c r="A75" s="310"/>
      <c r="B75" s="261"/>
      <c r="C75" s="261"/>
      <c r="D75" s="290"/>
      <c r="E75" s="261"/>
      <c r="F75" s="264"/>
      <c r="G75" s="265"/>
      <c r="H75" s="265"/>
      <c r="I75" s="266"/>
      <c r="J75" s="330"/>
    </row>
    <row r="76" spans="1:11" ht="22.5" outlineLevel="1">
      <c r="A76" s="294">
        <v>12</v>
      </c>
      <c r="B76" s="295" t="s">
        <v>25</v>
      </c>
      <c r="C76" s="295" t="s">
        <v>57</v>
      </c>
      <c r="D76" s="296" t="s">
        <v>55</v>
      </c>
      <c r="E76" s="297" t="s">
        <v>31</v>
      </c>
      <c r="F76" s="298"/>
      <c r="G76" s="299"/>
      <c r="H76" s="300">
        <f>SUM(H77:H79)</f>
        <v>4.87</v>
      </c>
      <c r="I76" s="301">
        <f>SUM(I77:I79)</f>
        <v>5.7200000000000006</v>
      </c>
      <c r="J76" s="259">
        <f>TRUNC((I76+H76),2)</f>
        <v>10.59</v>
      </c>
    </row>
    <row r="77" spans="1:11" outlineLevel="1">
      <c r="A77" s="260"/>
      <c r="B77" s="254" t="s">
        <v>19</v>
      </c>
      <c r="C77" s="254" t="s">
        <v>33</v>
      </c>
      <c r="D77" s="256" t="s">
        <v>22</v>
      </c>
      <c r="E77" s="254" t="s">
        <v>15</v>
      </c>
      <c r="F77" s="257">
        <v>0.15</v>
      </c>
      <c r="G77" s="302">
        <v>16.61</v>
      </c>
      <c r="H77" s="258">
        <v>0</v>
      </c>
      <c r="I77" s="259">
        <f>TRUNC((G77*F77),2)</f>
        <v>2.4900000000000002</v>
      </c>
      <c r="J77" s="302"/>
    </row>
    <row r="78" spans="1:11" outlineLevel="1">
      <c r="A78" s="260"/>
      <c r="B78" s="254" t="s">
        <v>19</v>
      </c>
      <c r="C78" s="254" t="s">
        <v>32</v>
      </c>
      <c r="D78" s="256" t="s">
        <v>23</v>
      </c>
      <c r="E78" s="254" t="s">
        <v>15</v>
      </c>
      <c r="F78" s="257">
        <v>0.15</v>
      </c>
      <c r="G78" s="302">
        <v>21.57</v>
      </c>
      <c r="H78" s="258">
        <v>0</v>
      </c>
      <c r="I78" s="259">
        <f>TRUNC((G78*F78),2)</f>
        <v>3.23</v>
      </c>
      <c r="J78" s="302"/>
    </row>
    <row r="79" spans="1:11" outlineLevel="1">
      <c r="A79" s="260"/>
      <c r="B79" s="254" t="s">
        <v>24</v>
      </c>
      <c r="C79" s="255" t="s">
        <v>26</v>
      </c>
      <c r="D79" s="256" t="s">
        <v>56</v>
      </c>
      <c r="E79" s="254" t="s">
        <v>17</v>
      </c>
      <c r="F79" s="257">
        <v>1</v>
      </c>
      <c r="G79" s="258">
        <v>4.87</v>
      </c>
      <c r="H79" s="258">
        <f>TRUNC((G79*F79),2)</f>
        <v>4.87</v>
      </c>
      <c r="I79" s="259">
        <v>0</v>
      </c>
      <c r="J79" s="259"/>
      <c r="K79" s="237" t="s">
        <v>79</v>
      </c>
    </row>
    <row r="80" spans="1:11" outlineLevel="1">
      <c r="A80" s="260"/>
      <c r="B80" s="261"/>
      <c r="C80" s="268"/>
      <c r="D80" s="290"/>
      <c r="E80" s="261"/>
      <c r="F80" s="264"/>
      <c r="G80" s="303"/>
      <c r="H80" s="265"/>
      <c r="I80" s="266"/>
      <c r="J80" s="304"/>
    </row>
    <row r="81" spans="1:10" ht="22.5">
      <c r="A81" s="253">
        <v>13</v>
      </c>
      <c r="B81" s="295" t="s">
        <v>25</v>
      </c>
      <c r="C81" s="331" t="s">
        <v>49</v>
      </c>
      <c r="D81" s="296" t="s">
        <v>77</v>
      </c>
      <c r="E81" s="254" t="s">
        <v>17</v>
      </c>
      <c r="F81" s="298"/>
      <c r="G81" s="299"/>
      <c r="H81" s="300">
        <f>SUM(H82:H84)</f>
        <v>15</v>
      </c>
      <c r="I81" s="301">
        <f>SUM(I82:I84)</f>
        <v>2.59</v>
      </c>
      <c r="J81" s="259">
        <f>TRUNC((I81+H81),2)</f>
        <v>17.59</v>
      </c>
    </row>
    <row r="82" spans="1:10">
      <c r="A82" s="280"/>
      <c r="B82" s="254" t="s">
        <v>19</v>
      </c>
      <c r="C82" s="255" t="s">
        <v>32</v>
      </c>
      <c r="D82" s="256" t="s">
        <v>23</v>
      </c>
      <c r="E82" s="254" t="s">
        <v>15</v>
      </c>
      <c r="F82" s="257">
        <v>7.0000000000000007E-2</v>
      </c>
      <c r="G82" s="302">
        <v>21.57</v>
      </c>
      <c r="H82" s="258">
        <v>0</v>
      </c>
      <c r="I82" s="259">
        <f>TRUNC((G82*F82),2)</f>
        <v>1.5</v>
      </c>
      <c r="J82" s="302"/>
    </row>
    <row r="83" spans="1:10">
      <c r="A83" s="280"/>
      <c r="B83" s="254" t="s">
        <v>19</v>
      </c>
      <c r="C83" s="255" t="s">
        <v>34</v>
      </c>
      <c r="D83" s="256" t="s">
        <v>21</v>
      </c>
      <c r="E83" s="254" t="s">
        <v>15</v>
      </c>
      <c r="F83" s="257">
        <v>7.0000000000000007E-2</v>
      </c>
      <c r="G83" s="302">
        <v>15.6</v>
      </c>
      <c r="H83" s="258">
        <v>0</v>
      </c>
      <c r="I83" s="259">
        <f>TRUNC((G83*F83),2)</f>
        <v>1.0900000000000001</v>
      </c>
      <c r="J83" s="302"/>
    </row>
    <row r="84" spans="1:10">
      <c r="A84" s="280"/>
      <c r="B84" s="254" t="s">
        <v>24</v>
      </c>
      <c r="C84" s="255">
        <v>404</v>
      </c>
      <c r="D84" s="256" t="s">
        <v>78</v>
      </c>
      <c r="E84" s="254" t="s">
        <v>17</v>
      </c>
      <c r="F84" s="257">
        <v>1</v>
      </c>
      <c r="G84" s="302">
        <v>15</v>
      </c>
      <c r="H84" s="258">
        <f>TRUNC((G84*F84),2)</f>
        <v>15</v>
      </c>
      <c r="I84" s="259">
        <v>0</v>
      </c>
      <c r="J84" s="302"/>
    </row>
    <row r="85" spans="1:10">
      <c r="A85" s="260"/>
      <c r="B85" s="332"/>
      <c r="C85" s="333"/>
      <c r="D85" s="334"/>
      <c r="E85" s="332"/>
      <c r="F85" s="335"/>
      <c r="G85" s="336"/>
      <c r="H85" s="336"/>
      <c r="I85" s="337"/>
      <c r="J85" s="338"/>
    </row>
    <row r="86" spans="1:10">
      <c r="A86" s="260"/>
      <c r="B86" s="332"/>
      <c r="C86" s="333"/>
      <c r="D86" s="334"/>
      <c r="E86" s="332"/>
      <c r="F86" s="335"/>
      <c r="G86" s="336"/>
      <c r="H86" s="336"/>
      <c r="I86" s="337"/>
      <c r="J86" s="338"/>
    </row>
    <row r="87" spans="1:10">
      <c r="A87" s="253">
        <v>14</v>
      </c>
      <c r="B87" s="295" t="s">
        <v>65</v>
      </c>
      <c r="C87" s="331">
        <v>83399</v>
      </c>
      <c r="D87" s="296" t="s">
        <v>95</v>
      </c>
      <c r="E87" s="254" t="s">
        <v>31</v>
      </c>
      <c r="F87" s="298"/>
      <c r="G87" s="299"/>
      <c r="H87" s="308">
        <f>SUM(H88:H91)</f>
        <v>0</v>
      </c>
      <c r="I87" s="309">
        <f>SUM(I88:I91)</f>
        <v>187.20999999999998</v>
      </c>
      <c r="J87" s="259">
        <f>I87+H87</f>
        <v>187.20999999999998</v>
      </c>
    </row>
    <row r="88" spans="1:10">
      <c r="A88" s="260"/>
      <c r="B88" s="254" t="s">
        <v>19</v>
      </c>
      <c r="C88" s="255" t="s">
        <v>34</v>
      </c>
      <c r="D88" s="319" t="s">
        <v>21</v>
      </c>
      <c r="E88" s="254" t="s">
        <v>15</v>
      </c>
      <c r="F88" s="291">
        <v>1</v>
      </c>
      <c r="G88" s="302">
        <v>15.6</v>
      </c>
      <c r="H88" s="259">
        <v>0</v>
      </c>
      <c r="I88" s="259">
        <f>(G88*F88)</f>
        <v>15.6</v>
      </c>
      <c r="J88" s="302"/>
    </row>
    <row r="89" spans="1:10">
      <c r="A89" s="260"/>
      <c r="B89" s="254" t="s">
        <v>19</v>
      </c>
      <c r="C89" s="255">
        <v>88441</v>
      </c>
      <c r="D89" s="319" t="s">
        <v>96</v>
      </c>
      <c r="E89" s="254" t="s">
        <v>15</v>
      </c>
      <c r="F89" s="291">
        <v>1</v>
      </c>
      <c r="G89" s="302">
        <v>17.239999999999998</v>
      </c>
      <c r="H89" s="259">
        <v>0</v>
      </c>
      <c r="I89" s="259">
        <f>(G89*F89)</f>
        <v>17.239999999999998</v>
      </c>
      <c r="J89" s="302"/>
    </row>
    <row r="90" spans="1:10">
      <c r="A90" s="260"/>
      <c r="B90" s="254" t="s">
        <v>19</v>
      </c>
      <c r="C90" s="292" t="s">
        <v>142</v>
      </c>
      <c r="D90" s="256" t="s">
        <v>143</v>
      </c>
      <c r="E90" s="254" t="s">
        <v>15</v>
      </c>
      <c r="F90" s="257">
        <v>1</v>
      </c>
      <c r="G90" s="258">
        <v>21.18</v>
      </c>
      <c r="H90" s="258">
        <v>0</v>
      </c>
      <c r="I90" s="259">
        <f>TRUNC((G90*F90),2)</f>
        <v>21.18</v>
      </c>
      <c r="J90" s="259"/>
    </row>
    <row r="91" spans="1:10" ht="33.75">
      <c r="A91" s="260"/>
      <c r="B91" s="254" t="s">
        <v>19</v>
      </c>
      <c r="C91" s="255">
        <v>5824</v>
      </c>
      <c r="D91" s="319" t="s">
        <v>97</v>
      </c>
      <c r="E91" s="292" t="s">
        <v>20</v>
      </c>
      <c r="F91" s="291">
        <v>1</v>
      </c>
      <c r="G91" s="302">
        <v>133.19</v>
      </c>
      <c r="H91" s="259">
        <v>0</v>
      </c>
      <c r="I91" s="259">
        <f>(G91*F91)</f>
        <v>133.19</v>
      </c>
      <c r="J91" s="302"/>
    </row>
    <row r="92" spans="1:10">
      <c r="A92" s="260"/>
      <c r="B92" s="332"/>
      <c r="C92" s="333"/>
      <c r="D92" s="334"/>
      <c r="E92" s="332"/>
      <c r="F92" s="335"/>
      <c r="G92" s="336"/>
      <c r="H92" s="336"/>
      <c r="I92" s="337"/>
      <c r="J92" s="338"/>
    </row>
    <row r="93" spans="1:10" ht="22.5">
      <c r="A93" s="253">
        <v>15</v>
      </c>
      <c r="B93" s="305" t="s">
        <v>25</v>
      </c>
      <c r="C93" s="313">
        <v>72344</v>
      </c>
      <c r="D93" s="329" t="s">
        <v>137</v>
      </c>
      <c r="E93" s="305" t="s">
        <v>17</v>
      </c>
      <c r="F93" s="305" t="s">
        <v>18</v>
      </c>
      <c r="G93" s="305"/>
      <c r="H93" s="309">
        <f>SUM(H94:H99)</f>
        <v>1267.48</v>
      </c>
      <c r="I93" s="309">
        <f>SUM(I94:I99)</f>
        <v>158.79400000000001</v>
      </c>
      <c r="J93" s="309">
        <f>I93+H93</f>
        <v>1426.2740000000001</v>
      </c>
    </row>
    <row r="94" spans="1:10">
      <c r="A94" s="315"/>
      <c r="B94" s="254" t="s">
        <v>19</v>
      </c>
      <c r="C94" s="254" t="s">
        <v>33</v>
      </c>
      <c r="D94" s="319" t="s">
        <v>22</v>
      </c>
      <c r="E94" s="254" t="s">
        <v>15</v>
      </c>
      <c r="F94" s="254">
        <v>3.8</v>
      </c>
      <c r="G94" s="254">
        <v>16.61</v>
      </c>
      <c r="H94" s="259">
        <v>0</v>
      </c>
      <c r="I94" s="259">
        <f>(G94*F94)</f>
        <v>63.117999999999995</v>
      </c>
      <c r="J94" s="259"/>
    </row>
    <row r="95" spans="1:10">
      <c r="A95" s="315"/>
      <c r="B95" s="254" t="s">
        <v>19</v>
      </c>
      <c r="C95" s="254" t="s">
        <v>32</v>
      </c>
      <c r="D95" s="319" t="s">
        <v>23</v>
      </c>
      <c r="E95" s="254" t="s">
        <v>15</v>
      </c>
      <c r="F95" s="254">
        <v>3.8</v>
      </c>
      <c r="G95" s="318">
        <v>21.57</v>
      </c>
      <c r="H95" s="259">
        <v>0</v>
      </c>
      <c r="I95" s="259">
        <f>(G95*F95)</f>
        <v>81.965999999999994</v>
      </c>
      <c r="J95" s="259"/>
    </row>
    <row r="96" spans="1:10">
      <c r="A96" s="315"/>
      <c r="B96" s="254" t="s">
        <v>19</v>
      </c>
      <c r="C96" s="254" t="s">
        <v>98</v>
      </c>
      <c r="D96" s="319" t="s">
        <v>99</v>
      </c>
      <c r="E96" s="254" t="s">
        <v>15</v>
      </c>
      <c r="F96" s="254">
        <v>0.5</v>
      </c>
      <c r="G96" s="254">
        <v>27.42</v>
      </c>
      <c r="H96" s="259">
        <v>0</v>
      </c>
      <c r="I96" s="259">
        <f>(G96*F96)</f>
        <v>13.71</v>
      </c>
      <c r="J96" s="259"/>
    </row>
    <row r="97" spans="1:10" ht="22.5">
      <c r="A97" s="315"/>
      <c r="B97" s="254" t="s">
        <v>24</v>
      </c>
      <c r="C97" s="254">
        <v>39685</v>
      </c>
      <c r="D97" s="319" t="s">
        <v>100</v>
      </c>
      <c r="E97" s="254" t="s">
        <v>17</v>
      </c>
      <c r="F97" s="254">
        <v>1</v>
      </c>
      <c r="G97" s="318">
        <v>458.59</v>
      </c>
      <c r="H97" s="318">
        <f>G97*F97</f>
        <v>458.59</v>
      </c>
      <c r="I97" s="259"/>
      <c r="J97" s="254"/>
    </row>
    <row r="98" spans="1:10">
      <c r="A98" s="315"/>
      <c r="B98" s="254" t="s">
        <v>24</v>
      </c>
      <c r="C98" s="254">
        <v>34709</v>
      </c>
      <c r="D98" s="319" t="s">
        <v>101</v>
      </c>
      <c r="E98" s="254" t="s">
        <v>17</v>
      </c>
      <c r="F98" s="254">
        <v>1</v>
      </c>
      <c r="G98" s="318">
        <v>58.89</v>
      </c>
      <c r="H98" s="318">
        <f>G98*F98</f>
        <v>58.89</v>
      </c>
      <c r="I98" s="259"/>
      <c r="J98" s="254"/>
    </row>
    <row r="99" spans="1:10" ht="22.5">
      <c r="A99" s="315"/>
      <c r="B99" s="254" t="s">
        <v>24</v>
      </c>
      <c r="C99" s="254" t="s">
        <v>102</v>
      </c>
      <c r="D99" s="319" t="s">
        <v>103</v>
      </c>
      <c r="E99" s="254" t="s">
        <v>17</v>
      </c>
      <c r="F99" s="254">
        <v>1</v>
      </c>
      <c r="G99" s="318">
        <v>750</v>
      </c>
      <c r="H99" s="318">
        <f>G99*F99</f>
        <v>750</v>
      </c>
      <c r="I99" s="259">
        <v>0</v>
      </c>
      <c r="J99" s="254"/>
    </row>
    <row r="100" spans="1:10">
      <c r="A100" s="260"/>
      <c r="B100" s="332"/>
      <c r="C100" s="333"/>
      <c r="D100" s="334"/>
      <c r="E100" s="332"/>
      <c r="F100" s="335"/>
      <c r="G100" s="336"/>
      <c r="H100" s="336"/>
      <c r="I100" s="337"/>
      <c r="J100" s="338"/>
    </row>
    <row r="101" spans="1:10" ht="33.75">
      <c r="A101" s="253">
        <v>16</v>
      </c>
      <c r="B101" s="305" t="s">
        <v>25</v>
      </c>
      <c r="C101" s="313" t="s">
        <v>49</v>
      </c>
      <c r="D101" s="329" t="s">
        <v>104</v>
      </c>
      <c r="E101" s="305" t="s">
        <v>17</v>
      </c>
      <c r="F101" s="305" t="s">
        <v>18</v>
      </c>
      <c r="G101" s="305"/>
      <c r="H101" s="309">
        <f>SUM(H102:H116)</f>
        <v>1566.1132</v>
      </c>
      <c r="I101" s="309">
        <f>SUM(I102:I116)</f>
        <v>250.48000000000002</v>
      </c>
      <c r="J101" s="309">
        <f>I101+H101</f>
        <v>1816.5932</v>
      </c>
    </row>
    <row r="102" spans="1:10">
      <c r="A102" s="315"/>
      <c r="B102" s="254" t="s">
        <v>19</v>
      </c>
      <c r="C102" s="254" t="s">
        <v>33</v>
      </c>
      <c r="D102" s="319" t="s">
        <v>22</v>
      </c>
      <c r="E102" s="254" t="s">
        <v>15</v>
      </c>
      <c r="F102" s="254">
        <v>4</v>
      </c>
      <c r="G102" s="254">
        <v>16.61</v>
      </c>
      <c r="H102" s="259">
        <v>0</v>
      </c>
      <c r="I102" s="259">
        <f>(G102*F102)</f>
        <v>66.44</v>
      </c>
      <c r="J102" s="259"/>
    </row>
    <row r="103" spans="1:10">
      <c r="A103" s="315"/>
      <c r="B103" s="254" t="s">
        <v>19</v>
      </c>
      <c r="C103" s="254" t="s">
        <v>32</v>
      </c>
      <c r="D103" s="319" t="s">
        <v>23</v>
      </c>
      <c r="E103" s="254" t="s">
        <v>15</v>
      </c>
      <c r="F103" s="254">
        <v>4</v>
      </c>
      <c r="G103" s="318">
        <v>21.57</v>
      </c>
      <c r="H103" s="259">
        <v>0</v>
      </c>
      <c r="I103" s="259">
        <f>(G103*F103)</f>
        <v>86.28</v>
      </c>
      <c r="J103" s="259"/>
    </row>
    <row r="104" spans="1:10">
      <c r="A104" s="315"/>
      <c r="B104" s="254" t="s">
        <v>19</v>
      </c>
      <c r="C104" s="254">
        <v>88266</v>
      </c>
      <c r="D104" s="319" t="s">
        <v>99</v>
      </c>
      <c r="E104" s="254" t="s">
        <v>15</v>
      </c>
      <c r="F104" s="254">
        <v>4</v>
      </c>
      <c r="G104" s="254">
        <v>24.44</v>
      </c>
      <c r="H104" s="259">
        <v>0</v>
      </c>
      <c r="I104" s="259">
        <f>(G104*F104)</f>
        <v>97.76</v>
      </c>
      <c r="J104" s="259"/>
    </row>
    <row r="105" spans="1:10" ht="22.5">
      <c r="A105" s="315"/>
      <c r="B105" s="254" t="s">
        <v>19</v>
      </c>
      <c r="C105" s="254">
        <v>72344</v>
      </c>
      <c r="D105" s="319" t="s">
        <v>105</v>
      </c>
      <c r="E105" s="254" t="s">
        <v>17</v>
      </c>
      <c r="F105" s="254">
        <v>1</v>
      </c>
      <c r="G105" s="254">
        <v>491.76</v>
      </c>
      <c r="H105" s="254">
        <f t="shared" ref="H105:H111" si="0">G105*F105</f>
        <v>491.76</v>
      </c>
      <c r="I105" s="259">
        <v>0</v>
      </c>
      <c r="J105" s="254"/>
    </row>
    <row r="106" spans="1:10">
      <c r="A106" s="315"/>
      <c r="B106" s="254" t="s">
        <v>106</v>
      </c>
      <c r="C106" s="254" t="s">
        <v>26</v>
      </c>
      <c r="D106" s="319" t="s">
        <v>107</v>
      </c>
      <c r="E106" s="254" t="s">
        <v>17</v>
      </c>
      <c r="F106" s="254">
        <v>1</v>
      </c>
      <c r="G106" s="254">
        <v>287.5</v>
      </c>
      <c r="H106" s="254">
        <f t="shared" si="0"/>
        <v>287.5</v>
      </c>
      <c r="I106" s="259">
        <v>0</v>
      </c>
      <c r="J106" s="254"/>
    </row>
    <row r="107" spans="1:10">
      <c r="A107" s="315"/>
      <c r="B107" s="254" t="s">
        <v>106</v>
      </c>
      <c r="C107" s="254" t="s">
        <v>26</v>
      </c>
      <c r="D107" s="319" t="s">
        <v>108</v>
      </c>
      <c r="E107" s="254" t="s">
        <v>17</v>
      </c>
      <c r="F107" s="254">
        <v>6</v>
      </c>
      <c r="G107" s="254">
        <v>2.42</v>
      </c>
      <c r="H107" s="254">
        <f t="shared" si="0"/>
        <v>14.52</v>
      </c>
      <c r="I107" s="259">
        <v>0</v>
      </c>
      <c r="J107" s="254"/>
    </row>
    <row r="108" spans="1:10">
      <c r="A108" s="315"/>
      <c r="B108" s="254" t="s">
        <v>106</v>
      </c>
      <c r="C108" s="254" t="s">
        <v>26</v>
      </c>
      <c r="D108" s="319" t="s">
        <v>109</v>
      </c>
      <c r="E108" s="254" t="s">
        <v>17</v>
      </c>
      <c r="F108" s="254">
        <v>6</v>
      </c>
      <c r="G108" s="254">
        <v>0.13</v>
      </c>
      <c r="H108" s="254">
        <f t="shared" si="0"/>
        <v>0.78</v>
      </c>
      <c r="I108" s="259">
        <v>0</v>
      </c>
      <c r="J108" s="254"/>
    </row>
    <row r="109" spans="1:10">
      <c r="A109" s="315"/>
      <c r="B109" s="254" t="s">
        <v>106</v>
      </c>
      <c r="C109" s="254" t="s">
        <v>26</v>
      </c>
      <c r="D109" s="319" t="s">
        <v>110</v>
      </c>
      <c r="E109" s="254" t="s">
        <v>17</v>
      </c>
      <c r="F109" s="254">
        <v>6</v>
      </c>
      <c r="G109" s="254">
        <v>0.91</v>
      </c>
      <c r="H109" s="254">
        <f t="shared" si="0"/>
        <v>5.46</v>
      </c>
      <c r="I109" s="259">
        <v>0</v>
      </c>
      <c r="J109" s="254"/>
    </row>
    <row r="110" spans="1:10">
      <c r="A110" s="315"/>
      <c r="B110" s="254" t="s">
        <v>106</v>
      </c>
      <c r="C110" s="254" t="s">
        <v>26</v>
      </c>
      <c r="D110" s="319" t="s">
        <v>111</v>
      </c>
      <c r="E110" s="254" t="s">
        <v>17</v>
      </c>
      <c r="F110" s="254">
        <v>6</v>
      </c>
      <c r="G110" s="254">
        <v>1.1000000000000001</v>
      </c>
      <c r="H110" s="254">
        <f t="shared" si="0"/>
        <v>6.6000000000000005</v>
      </c>
      <c r="I110" s="259">
        <v>0</v>
      </c>
      <c r="J110" s="254"/>
    </row>
    <row r="111" spans="1:10">
      <c r="A111" s="315"/>
      <c r="B111" s="254" t="s">
        <v>106</v>
      </c>
      <c r="C111" s="254" t="s">
        <v>26</v>
      </c>
      <c r="D111" s="319" t="s">
        <v>112</v>
      </c>
      <c r="E111" s="254" t="s">
        <v>1</v>
      </c>
      <c r="F111" s="254">
        <v>0.5</v>
      </c>
      <c r="G111" s="254">
        <v>26.3</v>
      </c>
      <c r="H111" s="254">
        <f t="shared" si="0"/>
        <v>13.15</v>
      </c>
      <c r="I111" s="259">
        <v>0</v>
      </c>
      <c r="J111" s="254"/>
    </row>
    <row r="112" spans="1:10" ht="22.5">
      <c r="A112" s="315"/>
      <c r="B112" s="254" t="s">
        <v>19</v>
      </c>
      <c r="C112" s="254">
        <v>93658</v>
      </c>
      <c r="D112" s="319" t="s">
        <v>113</v>
      </c>
      <c r="E112" s="254" t="s">
        <v>17</v>
      </c>
      <c r="F112" s="254">
        <v>1</v>
      </c>
      <c r="G112" s="254">
        <v>54.66</v>
      </c>
      <c r="H112" s="254">
        <f>(G112*F112)</f>
        <v>54.66</v>
      </c>
      <c r="I112" s="259">
        <v>0</v>
      </c>
      <c r="J112" s="259"/>
    </row>
    <row r="113" spans="1:10">
      <c r="A113" s="315"/>
      <c r="B113" s="254" t="s">
        <v>106</v>
      </c>
      <c r="C113" s="254" t="s">
        <v>26</v>
      </c>
      <c r="D113" s="319" t="s">
        <v>114</v>
      </c>
      <c r="E113" s="254" t="s">
        <v>17</v>
      </c>
      <c r="F113" s="254">
        <v>6</v>
      </c>
      <c r="G113" s="254">
        <v>0.2</v>
      </c>
      <c r="H113" s="254">
        <f>G113*F113</f>
        <v>1.2000000000000002</v>
      </c>
      <c r="I113" s="259">
        <v>0</v>
      </c>
      <c r="J113" s="254"/>
    </row>
    <row r="114" spans="1:10">
      <c r="A114" s="315"/>
      <c r="B114" s="254" t="s">
        <v>106</v>
      </c>
      <c r="C114" s="254" t="s">
        <v>26</v>
      </c>
      <c r="D114" s="319" t="s">
        <v>115</v>
      </c>
      <c r="E114" s="254" t="s">
        <v>116</v>
      </c>
      <c r="F114" s="254">
        <v>0.12</v>
      </c>
      <c r="G114" s="254">
        <v>623.86</v>
      </c>
      <c r="H114" s="254">
        <f>G114*F114</f>
        <v>74.863199999999992</v>
      </c>
      <c r="I114" s="259">
        <v>0</v>
      </c>
      <c r="J114" s="254"/>
    </row>
    <row r="115" spans="1:10">
      <c r="A115" s="315"/>
      <c r="B115" s="254" t="s">
        <v>106</v>
      </c>
      <c r="C115" s="254" t="s">
        <v>26</v>
      </c>
      <c r="D115" s="319" t="s">
        <v>117</v>
      </c>
      <c r="E115" s="254" t="s">
        <v>17</v>
      </c>
      <c r="F115" s="254">
        <v>6</v>
      </c>
      <c r="G115" s="254">
        <v>8.81</v>
      </c>
      <c r="H115" s="254">
        <f>G115*F115</f>
        <v>52.86</v>
      </c>
      <c r="I115" s="259">
        <v>0</v>
      </c>
      <c r="J115" s="254"/>
    </row>
    <row r="116" spans="1:10">
      <c r="A116" s="315"/>
      <c r="B116" s="254" t="s">
        <v>106</v>
      </c>
      <c r="C116" s="254" t="s">
        <v>26</v>
      </c>
      <c r="D116" s="319" t="s">
        <v>118</v>
      </c>
      <c r="E116" s="254" t="s">
        <v>17</v>
      </c>
      <c r="F116" s="254">
        <v>4</v>
      </c>
      <c r="G116" s="254">
        <v>140.69</v>
      </c>
      <c r="H116" s="254">
        <f>G116*F116</f>
        <v>562.76</v>
      </c>
      <c r="I116" s="259">
        <v>0</v>
      </c>
      <c r="J116" s="254"/>
    </row>
    <row r="117" spans="1:10">
      <c r="A117" s="260"/>
      <c r="B117" s="332"/>
      <c r="C117" s="333"/>
      <c r="D117" s="334"/>
      <c r="E117" s="332"/>
      <c r="F117" s="335"/>
      <c r="G117" s="336"/>
      <c r="H117" s="336"/>
      <c r="I117" s="337"/>
      <c r="J117" s="338"/>
    </row>
    <row r="118" spans="1:10" ht="22.5">
      <c r="A118" s="253">
        <v>17</v>
      </c>
      <c r="B118" s="305" t="s">
        <v>25</v>
      </c>
      <c r="C118" s="305" t="s">
        <v>119</v>
      </c>
      <c r="D118" s="329" t="s">
        <v>206</v>
      </c>
      <c r="E118" s="305" t="s">
        <v>17</v>
      </c>
      <c r="F118" s="305" t="s">
        <v>18</v>
      </c>
      <c r="G118" s="305"/>
      <c r="H118" s="309">
        <f>SUM(H119:H121)</f>
        <v>35.57</v>
      </c>
      <c r="I118" s="309">
        <f>SUM(I119:I121)</f>
        <v>15.272</v>
      </c>
      <c r="J118" s="309">
        <f>I118+H118</f>
        <v>50.841999999999999</v>
      </c>
    </row>
    <row r="119" spans="1:10">
      <c r="A119" s="315"/>
      <c r="B119" s="254" t="s">
        <v>19</v>
      </c>
      <c r="C119" s="254" t="s">
        <v>33</v>
      </c>
      <c r="D119" s="319" t="s">
        <v>22</v>
      </c>
      <c r="E119" s="254" t="s">
        <v>15</v>
      </c>
      <c r="F119" s="254">
        <v>0.4</v>
      </c>
      <c r="G119" s="254">
        <v>16.61</v>
      </c>
      <c r="H119" s="259">
        <v>0</v>
      </c>
      <c r="I119" s="259">
        <f>(G119*F119)</f>
        <v>6.6440000000000001</v>
      </c>
      <c r="J119" s="259"/>
    </row>
    <row r="120" spans="1:10">
      <c r="A120" s="315"/>
      <c r="B120" s="254" t="s">
        <v>19</v>
      </c>
      <c r="C120" s="254" t="s">
        <v>32</v>
      </c>
      <c r="D120" s="319" t="s">
        <v>23</v>
      </c>
      <c r="E120" s="254" t="s">
        <v>15</v>
      </c>
      <c r="F120" s="254">
        <v>0.4</v>
      </c>
      <c r="G120" s="318">
        <v>21.57</v>
      </c>
      <c r="H120" s="259">
        <v>0</v>
      </c>
      <c r="I120" s="259">
        <f>(G120*F120)</f>
        <v>8.6280000000000001</v>
      </c>
      <c r="J120" s="259"/>
    </row>
    <row r="121" spans="1:10" ht="22.5">
      <c r="A121" s="315"/>
      <c r="B121" s="254" t="s">
        <v>24</v>
      </c>
      <c r="C121" s="254" t="s">
        <v>120</v>
      </c>
      <c r="D121" s="319" t="s">
        <v>121</v>
      </c>
      <c r="E121" s="254" t="s">
        <v>17</v>
      </c>
      <c r="F121" s="254">
        <v>1</v>
      </c>
      <c r="G121" s="318">
        <v>35.57</v>
      </c>
      <c r="H121" s="318">
        <f>G121*F121</f>
        <v>35.57</v>
      </c>
      <c r="I121" s="259">
        <v>0</v>
      </c>
      <c r="J121" s="254"/>
    </row>
    <row r="122" spans="1:10">
      <c r="A122" s="260"/>
      <c r="B122" s="332"/>
      <c r="C122" s="333"/>
      <c r="D122" s="334"/>
      <c r="E122" s="332"/>
      <c r="F122" s="335"/>
      <c r="G122" s="336"/>
      <c r="H122" s="336"/>
      <c r="I122" s="337"/>
      <c r="J122" s="338"/>
    </row>
    <row r="123" spans="1:10" ht="22.5">
      <c r="A123" s="253">
        <v>18</v>
      </c>
      <c r="B123" s="305" t="s">
        <v>25</v>
      </c>
      <c r="C123" s="254" t="s">
        <v>49</v>
      </c>
      <c r="D123" s="256" t="s">
        <v>144</v>
      </c>
      <c r="E123" s="305" t="s">
        <v>17</v>
      </c>
      <c r="F123" s="257" t="s">
        <v>18</v>
      </c>
      <c r="G123" s="258"/>
      <c r="H123" s="258">
        <f>SUM(H124:H127)</f>
        <v>1280</v>
      </c>
      <c r="I123" s="259">
        <f>SUM(I124:I127)</f>
        <v>333.82900000000001</v>
      </c>
      <c r="J123" s="259">
        <f>TRUNC((I123+H123),2)</f>
        <v>1613.82</v>
      </c>
    </row>
    <row r="124" spans="1:10">
      <c r="A124" s="260"/>
      <c r="B124" s="254" t="s">
        <v>19</v>
      </c>
      <c r="C124" s="255" t="s">
        <v>32</v>
      </c>
      <c r="D124" s="319" t="s">
        <v>23</v>
      </c>
      <c r="E124" s="254" t="s">
        <v>15</v>
      </c>
      <c r="F124" s="291">
        <v>1.2</v>
      </c>
      <c r="G124" s="339">
        <v>21.57</v>
      </c>
      <c r="H124" s="259">
        <v>0</v>
      </c>
      <c r="I124" s="259">
        <f>(G124*F124)</f>
        <v>25.884</v>
      </c>
      <c r="J124" s="302"/>
    </row>
    <row r="125" spans="1:10">
      <c r="A125" s="260"/>
      <c r="B125" s="254" t="s">
        <v>19</v>
      </c>
      <c r="C125" s="255">
        <v>88247</v>
      </c>
      <c r="D125" s="319" t="s">
        <v>22</v>
      </c>
      <c r="E125" s="254" t="s">
        <v>15</v>
      </c>
      <c r="F125" s="291">
        <v>8</v>
      </c>
      <c r="G125" s="259">
        <v>16.61</v>
      </c>
      <c r="H125" s="259">
        <v>0</v>
      </c>
      <c r="I125" s="259">
        <f>(G125*F125)</f>
        <v>132.88</v>
      </c>
      <c r="J125" s="259"/>
    </row>
    <row r="126" spans="1:10" ht="22.5">
      <c r="A126" s="260"/>
      <c r="B126" s="254" t="s">
        <v>106</v>
      </c>
      <c r="C126" s="255" t="s">
        <v>129</v>
      </c>
      <c r="D126" s="319" t="s">
        <v>144</v>
      </c>
      <c r="E126" s="254" t="s">
        <v>17</v>
      </c>
      <c r="F126" s="291">
        <v>1</v>
      </c>
      <c r="G126" s="339">
        <v>1280</v>
      </c>
      <c r="H126" s="259">
        <f>(G126*F126)</f>
        <v>1280</v>
      </c>
      <c r="I126" s="259">
        <v>0</v>
      </c>
      <c r="J126" s="302"/>
    </row>
    <row r="127" spans="1:10" ht="33.75">
      <c r="A127" s="260"/>
      <c r="B127" s="254" t="s">
        <v>19</v>
      </c>
      <c r="C127" s="255">
        <v>91634</v>
      </c>
      <c r="D127" s="319" t="s">
        <v>205</v>
      </c>
      <c r="E127" s="254" t="s">
        <v>20</v>
      </c>
      <c r="F127" s="291">
        <v>1.375</v>
      </c>
      <c r="G127" s="259">
        <v>127.32</v>
      </c>
      <c r="H127" s="259">
        <v>0</v>
      </c>
      <c r="I127" s="259">
        <f>(G127*F127)</f>
        <v>175.065</v>
      </c>
      <c r="J127" s="259"/>
    </row>
    <row r="128" spans="1:10">
      <c r="A128" s="260"/>
      <c r="B128" s="254" t="s">
        <v>19</v>
      </c>
      <c r="C128" s="292" t="s">
        <v>142</v>
      </c>
      <c r="D128" s="256" t="s">
        <v>143</v>
      </c>
      <c r="E128" s="254" t="s">
        <v>15</v>
      </c>
      <c r="F128" s="257">
        <v>1</v>
      </c>
      <c r="G128" s="258">
        <v>21.18</v>
      </c>
      <c r="H128" s="258">
        <v>0</v>
      </c>
      <c r="I128" s="259">
        <f>TRUNC((G128*F128),2)</f>
        <v>21.18</v>
      </c>
      <c r="J128" s="259"/>
    </row>
    <row r="129" spans="1:10">
      <c r="A129" s="260"/>
      <c r="B129" s="332"/>
      <c r="C129" s="333"/>
      <c r="D129" s="334"/>
      <c r="E129" s="332"/>
      <c r="F129" s="335"/>
      <c r="G129" s="336"/>
      <c r="H129" s="336"/>
      <c r="I129" s="337"/>
      <c r="J129" s="338"/>
    </row>
    <row r="130" spans="1:10">
      <c r="A130" s="253">
        <v>19</v>
      </c>
      <c r="B130" s="305" t="s">
        <v>25</v>
      </c>
      <c r="C130" s="305" t="s">
        <v>125</v>
      </c>
      <c r="D130" s="329" t="s">
        <v>126</v>
      </c>
      <c r="E130" s="305" t="s">
        <v>17</v>
      </c>
      <c r="F130" s="305" t="s">
        <v>18</v>
      </c>
      <c r="G130" s="305"/>
      <c r="H130" s="309">
        <f>SUM(H131:H133)</f>
        <v>45.06</v>
      </c>
      <c r="I130" s="309">
        <f>SUM(I131:I133)</f>
        <v>101.18224900000001</v>
      </c>
      <c r="J130" s="309">
        <f>I130+H130</f>
        <v>146.24224900000002</v>
      </c>
    </row>
    <row r="131" spans="1:10">
      <c r="A131" s="315"/>
      <c r="B131" s="254" t="s">
        <v>19</v>
      </c>
      <c r="C131" s="254">
        <v>88309</v>
      </c>
      <c r="D131" s="319" t="s">
        <v>127</v>
      </c>
      <c r="E131" s="254" t="s">
        <v>15</v>
      </c>
      <c r="F131" s="254">
        <v>1.6789000000000001</v>
      </c>
      <c r="G131" s="259">
        <v>18.61</v>
      </c>
      <c r="H131" s="259">
        <v>0</v>
      </c>
      <c r="I131" s="259">
        <f>(G131*F131)</f>
        <v>31.244329</v>
      </c>
      <c r="J131" s="259"/>
    </row>
    <row r="132" spans="1:10">
      <c r="A132" s="315"/>
      <c r="B132" s="254" t="s">
        <v>19</v>
      </c>
      <c r="C132" s="254" t="s">
        <v>34</v>
      </c>
      <c r="D132" s="319" t="s">
        <v>21</v>
      </c>
      <c r="E132" s="254" t="s">
        <v>15</v>
      </c>
      <c r="F132" s="254">
        <v>4.4832000000000001</v>
      </c>
      <c r="G132" s="302">
        <v>15.6</v>
      </c>
      <c r="H132" s="259">
        <v>0</v>
      </c>
      <c r="I132" s="259">
        <f>(G132*F132)</f>
        <v>69.937920000000005</v>
      </c>
      <c r="J132" s="259"/>
    </row>
    <row r="133" spans="1:10">
      <c r="A133" s="315"/>
      <c r="B133" s="254" t="s">
        <v>24</v>
      </c>
      <c r="C133" s="254">
        <v>3278</v>
      </c>
      <c r="D133" s="319" t="s">
        <v>128</v>
      </c>
      <c r="E133" s="254" t="s">
        <v>17</v>
      </c>
      <c r="F133" s="254">
        <v>1</v>
      </c>
      <c r="G133" s="259">
        <v>45.06</v>
      </c>
      <c r="H133" s="259">
        <f>(G133*F133)</f>
        <v>45.06</v>
      </c>
      <c r="I133" s="259">
        <v>0</v>
      </c>
      <c r="J133" s="259"/>
    </row>
    <row r="134" spans="1:10">
      <c r="A134" s="260"/>
      <c r="B134" s="332"/>
      <c r="C134" s="333"/>
      <c r="D134" s="334"/>
      <c r="E134" s="332"/>
      <c r="F134" s="335"/>
      <c r="G134" s="336"/>
      <c r="H134" s="336"/>
      <c r="I134" s="337"/>
      <c r="J134" s="338"/>
    </row>
    <row r="135" spans="1:10" ht="22.5">
      <c r="A135" s="253">
        <v>20</v>
      </c>
      <c r="B135" s="305" t="s">
        <v>25</v>
      </c>
      <c r="C135" s="305" t="s">
        <v>130</v>
      </c>
      <c r="D135" s="329" t="s">
        <v>207</v>
      </c>
      <c r="E135" s="305" t="s">
        <v>1</v>
      </c>
      <c r="F135" s="305" t="s">
        <v>18</v>
      </c>
      <c r="G135" s="305"/>
      <c r="H135" s="309">
        <f>SUM(H136:H138)</f>
        <v>4.53</v>
      </c>
      <c r="I135" s="309">
        <f>SUM(I136:I138)</f>
        <v>4.9252199999999995</v>
      </c>
      <c r="J135" s="309">
        <f>I135+H135</f>
        <v>9.4552200000000006</v>
      </c>
    </row>
    <row r="136" spans="1:10">
      <c r="A136" s="260"/>
      <c r="B136" s="254" t="s">
        <v>19</v>
      </c>
      <c r="C136" s="254" t="s">
        <v>33</v>
      </c>
      <c r="D136" s="319" t="s">
        <v>22</v>
      </c>
      <c r="E136" s="254" t="s">
        <v>15</v>
      </c>
      <c r="F136" s="254">
        <v>0.129</v>
      </c>
      <c r="G136" s="259">
        <v>16.61</v>
      </c>
      <c r="H136" s="259">
        <v>0</v>
      </c>
      <c r="I136" s="259">
        <f>(G136*F136)</f>
        <v>2.14269</v>
      </c>
      <c r="J136" s="259"/>
    </row>
    <row r="137" spans="1:10">
      <c r="A137" s="260"/>
      <c r="B137" s="254" t="s">
        <v>19</v>
      </c>
      <c r="C137" s="254" t="s">
        <v>32</v>
      </c>
      <c r="D137" s="319" t="s">
        <v>23</v>
      </c>
      <c r="E137" s="254" t="s">
        <v>15</v>
      </c>
      <c r="F137" s="254">
        <v>0.129</v>
      </c>
      <c r="G137" s="259">
        <v>21.57</v>
      </c>
      <c r="H137" s="259">
        <v>0</v>
      </c>
      <c r="I137" s="259">
        <f>(G137*F137)</f>
        <v>2.7825299999999999</v>
      </c>
      <c r="J137" s="259"/>
    </row>
    <row r="138" spans="1:10" ht="22.5">
      <c r="A138" s="260"/>
      <c r="B138" s="254" t="s">
        <v>131</v>
      </c>
      <c r="C138" s="254" t="s">
        <v>26</v>
      </c>
      <c r="D138" s="319" t="s">
        <v>207</v>
      </c>
      <c r="E138" s="254" t="s">
        <v>1</v>
      </c>
      <c r="F138" s="254">
        <v>1</v>
      </c>
      <c r="G138" s="259">
        <v>4.53</v>
      </c>
      <c r="H138" s="259">
        <f>(G138*F138)</f>
        <v>4.53</v>
      </c>
      <c r="I138" s="259">
        <v>0</v>
      </c>
      <c r="J138" s="259"/>
    </row>
    <row r="139" spans="1:10">
      <c r="A139" s="260"/>
      <c r="B139" s="332"/>
      <c r="C139" s="333"/>
      <c r="D139" s="334"/>
      <c r="E139" s="332"/>
      <c r="F139" s="335"/>
      <c r="G139" s="336"/>
      <c r="H139" s="336"/>
      <c r="I139" s="337"/>
      <c r="J139" s="338"/>
    </row>
    <row r="140" spans="1:10">
      <c r="A140" s="253">
        <v>21</v>
      </c>
      <c r="B140" s="305" t="s">
        <v>132</v>
      </c>
      <c r="C140" s="305" t="s">
        <v>133</v>
      </c>
      <c r="D140" s="329" t="s">
        <v>134</v>
      </c>
      <c r="E140" s="305" t="s">
        <v>47</v>
      </c>
      <c r="F140" s="305" t="s">
        <v>18</v>
      </c>
      <c r="G140" s="305"/>
      <c r="H140" s="309">
        <f>SUM(H141)</f>
        <v>0</v>
      </c>
      <c r="I140" s="309">
        <f>SUM(I141)</f>
        <v>61.7136</v>
      </c>
      <c r="J140" s="309">
        <f>I140+H140</f>
        <v>61.7136</v>
      </c>
    </row>
    <row r="141" spans="1:10">
      <c r="A141" s="260"/>
      <c r="B141" s="254" t="s">
        <v>19</v>
      </c>
      <c r="C141" s="254" t="s">
        <v>34</v>
      </c>
      <c r="D141" s="319" t="s">
        <v>21</v>
      </c>
      <c r="E141" s="254" t="s">
        <v>15</v>
      </c>
      <c r="F141" s="254">
        <v>3.956</v>
      </c>
      <c r="G141" s="302">
        <v>15.6</v>
      </c>
      <c r="H141" s="259">
        <v>0</v>
      </c>
      <c r="I141" s="259">
        <f>(G141*F141)</f>
        <v>61.7136</v>
      </c>
      <c r="J141" s="259"/>
    </row>
    <row r="142" spans="1:10">
      <c r="A142" s="260"/>
      <c r="B142" s="332"/>
      <c r="C142" s="333"/>
      <c r="D142" s="332"/>
      <c r="E142" s="340"/>
      <c r="F142" s="341"/>
      <c r="G142" s="342"/>
      <c r="H142" s="343"/>
      <c r="I142" s="343"/>
      <c r="J142" s="344"/>
    </row>
    <row r="143" spans="1:10" ht="22.5">
      <c r="A143" s="253">
        <v>22</v>
      </c>
      <c r="B143" s="305" t="s">
        <v>132</v>
      </c>
      <c r="C143" s="305" t="s">
        <v>135</v>
      </c>
      <c r="D143" s="329" t="s">
        <v>136</v>
      </c>
      <c r="E143" s="305" t="s">
        <v>47</v>
      </c>
      <c r="F143" s="305" t="s">
        <v>18</v>
      </c>
      <c r="G143" s="305"/>
      <c r="H143" s="309">
        <f>SUM(H144:H144)</f>
        <v>0</v>
      </c>
      <c r="I143" s="309">
        <f>SUM(I144:I144)</f>
        <v>45.084000000000003</v>
      </c>
      <c r="J143" s="309">
        <f>I143+H143</f>
        <v>45.084000000000003</v>
      </c>
    </row>
    <row r="144" spans="1:10">
      <c r="A144" s="345"/>
      <c r="B144" s="254" t="s">
        <v>19</v>
      </c>
      <c r="C144" s="254" t="s">
        <v>34</v>
      </c>
      <c r="D144" s="319" t="s">
        <v>21</v>
      </c>
      <c r="E144" s="254" t="s">
        <v>15</v>
      </c>
      <c r="F144" s="254">
        <v>2.89</v>
      </c>
      <c r="G144" s="302">
        <v>15.6</v>
      </c>
      <c r="H144" s="259">
        <v>0</v>
      </c>
      <c r="I144" s="259">
        <f>(G144*F144)</f>
        <v>45.084000000000003</v>
      </c>
      <c r="J144" s="259"/>
    </row>
    <row r="146" spans="1:10" ht="22.5">
      <c r="A146" s="346">
        <v>23</v>
      </c>
      <c r="B146" s="347" t="s">
        <v>25</v>
      </c>
      <c r="C146" s="348">
        <v>93672</v>
      </c>
      <c r="D146" s="349" t="s">
        <v>166</v>
      </c>
      <c r="E146" s="305" t="s">
        <v>17</v>
      </c>
      <c r="F146" s="350" t="s">
        <v>18</v>
      </c>
      <c r="G146" s="308"/>
      <c r="H146" s="308">
        <f>SUM(H147:H150)</f>
        <v>60.82</v>
      </c>
      <c r="I146" s="308">
        <f>SUM(I147:I150)</f>
        <v>15.49</v>
      </c>
      <c r="J146" s="258">
        <f>TRUNC((I146+H146),2)</f>
        <v>76.31</v>
      </c>
    </row>
    <row r="147" spans="1:10">
      <c r="A147" s="315"/>
      <c r="B147" s="254" t="s">
        <v>19</v>
      </c>
      <c r="C147" s="254" t="s">
        <v>33</v>
      </c>
      <c r="D147" s="351" t="s">
        <v>22</v>
      </c>
      <c r="E147" s="254" t="s">
        <v>15</v>
      </c>
      <c r="F147" s="257">
        <v>0.40600000000000003</v>
      </c>
      <c r="G147" s="259">
        <v>16.61</v>
      </c>
      <c r="H147" s="259">
        <v>0</v>
      </c>
      <c r="I147" s="259">
        <f>TRUNC((G147*F147),2)</f>
        <v>6.74</v>
      </c>
      <c r="J147" s="259"/>
    </row>
    <row r="148" spans="1:10">
      <c r="A148" s="315"/>
      <c r="B148" s="254" t="s">
        <v>19</v>
      </c>
      <c r="C148" s="254" t="s">
        <v>32</v>
      </c>
      <c r="D148" s="351" t="s">
        <v>23</v>
      </c>
      <c r="E148" s="254" t="s">
        <v>15</v>
      </c>
      <c r="F148" s="257">
        <v>0.40600000000000003</v>
      </c>
      <c r="G148" s="259">
        <v>21.57</v>
      </c>
      <c r="H148" s="259">
        <v>0</v>
      </c>
      <c r="I148" s="259">
        <f>TRUNC((G148*F148),2)</f>
        <v>8.75</v>
      </c>
      <c r="J148" s="259"/>
    </row>
    <row r="149" spans="1:10" ht="22.5">
      <c r="A149" s="315"/>
      <c r="B149" s="254" t="s">
        <v>24</v>
      </c>
      <c r="C149" s="254">
        <v>1574</v>
      </c>
      <c r="D149" s="351" t="s">
        <v>167</v>
      </c>
      <c r="E149" s="254" t="s">
        <v>17</v>
      </c>
      <c r="F149" s="257">
        <v>2</v>
      </c>
      <c r="G149" s="259">
        <v>1.02</v>
      </c>
      <c r="H149" s="259">
        <f>TRUNC((G149*F149),2)</f>
        <v>2.04</v>
      </c>
      <c r="I149" s="259">
        <v>0</v>
      </c>
      <c r="J149" s="259"/>
    </row>
    <row r="150" spans="1:10">
      <c r="A150" s="315"/>
      <c r="B150" s="254" t="s">
        <v>24</v>
      </c>
      <c r="C150" s="254">
        <v>34623</v>
      </c>
      <c r="D150" s="351" t="s">
        <v>168</v>
      </c>
      <c r="E150" s="254" t="s">
        <v>17</v>
      </c>
      <c r="F150" s="257">
        <v>1</v>
      </c>
      <c r="G150" s="259">
        <v>58.78</v>
      </c>
      <c r="H150" s="259">
        <f>TRUNC((G150*F150),2)</f>
        <v>58.78</v>
      </c>
      <c r="I150" s="259">
        <v>0</v>
      </c>
      <c r="J150" s="259"/>
    </row>
    <row r="152" spans="1:10">
      <c r="A152" s="346">
        <v>24</v>
      </c>
      <c r="B152" s="305" t="s">
        <v>169</v>
      </c>
      <c r="C152" s="313">
        <v>91908</v>
      </c>
      <c r="D152" s="254" t="s">
        <v>170</v>
      </c>
      <c r="E152" s="305" t="s">
        <v>17</v>
      </c>
      <c r="F152" s="350" t="s">
        <v>18</v>
      </c>
      <c r="G152" s="308"/>
      <c r="H152" s="308">
        <f>SUM(H153:H155)</f>
        <v>3.74</v>
      </c>
      <c r="I152" s="308">
        <f>SUM(I153:I155)</f>
        <v>11.71</v>
      </c>
      <c r="J152" s="258">
        <f>TRUNC((I152+H152),2)</f>
        <v>15.45</v>
      </c>
    </row>
    <row r="153" spans="1:10">
      <c r="A153" s="315"/>
      <c r="B153" s="254" t="s">
        <v>19</v>
      </c>
      <c r="C153" s="254" t="s">
        <v>33</v>
      </c>
      <c r="D153" s="316" t="s">
        <v>22</v>
      </c>
      <c r="E153" s="254" t="s">
        <v>15</v>
      </c>
      <c r="F153" s="317">
        <v>0.307</v>
      </c>
      <c r="G153" s="258">
        <v>16.61</v>
      </c>
      <c r="H153" s="258">
        <v>0</v>
      </c>
      <c r="I153" s="258">
        <f>TRUNC((G153*F153),2)</f>
        <v>5.09</v>
      </c>
      <c r="J153" s="258"/>
    </row>
    <row r="154" spans="1:10">
      <c r="A154" s="315"/>
      <c r="B154" s="254" t="s">
        <v>19</v>
      </c>
      <c r="C154" s="254" t="s">
        <v>32</v>
      </c>
      <c r="D154" s="316" t="s">
        <v>23</v>
      </c>
      <c r="E154" s="254" t="s">
        <v>15</v>
      </c>
      <c r="F154" s="317">
        <v>0.307</v>
      </c>
      <c r="G154" s="258">
        <v>21.57</v>
      </c>
      <c r="H154" s="258">
        <v>0</v>
      </c>
      <c r="I154" s="258">
        <f>TRUNC((G154*F154),2)</f>
        <v>6.62</v>
      </c>
      <c r="J154" s="258"/>
    </row>
    <row r="155" spans="1:10">
      <c r="A155" s="315"/>
      <c r="B155" s="254" t="s">
        <v>24</v>
      </c>
      <c r="C155" s="254">
        <v>1874</v>
      </c>
      <c r="D155" s="316" t="s">
        <v>171</v>
      </c>
      <c r="E155" s="254" t="s">
        <v>17</v>
      </c>
      <c r="F155" s="317">
        <v>1</v>
      </c>
      <c r="G155" s="258">
        <v>3.74</v>
      </c>
      <c r="H155" s="258">
        <f>TRUNC((G155*F155),2)</f>
        <v>3.74</v>
      </c>
      <c r="I155" s="258">
        <v>0</v>
      </c>
      <c r="J155" s="258"/>
    </row>
    <row r="156" spans="1:10">
      <c r="A156" s="260"/>
      <c r="B156" s="261"/>
      <c r="C156" s="352"/>
      <c r="D156" s="353"/>
      <c r="E156" s="352"/>
      <c r="F156" s="354"/>
      <c r="G156" s="355"/>
      <c r="H156" s="265"/>
      <c r="I156" s="265"/>
      <c r="J156" s="356"/>
    </row>
    <row r="157" spans="1:10" ht="22.5">
      <c r="A157" s="346">
        <v>25</v>
      </c>
      <c r="B157" s="305" t="s">
        <v>169</v>
      </c>
      <c r="C157" s="313" t="s">
        <v>172</v>
      </c>
      <c r="D157" s="321" t="s">
        <v>173</v>
      </c>
      <c r="E157" s="305" t="s">
        <v>17</v>
      </c>
      <c r="F157" s="350" t="s">
        <v>18</v>
      </c>
      <c r="G157" s="308"/>
      <c r="H157" s="308">
        <f>SUM(H158:H160)</f>
        <v>2.0499999999999998</v>
      </c>
      <c r="I157" s="308">
        <f>SUM(I158:I160)</f>
        <v>7.2900000000000009</v>
      </c>
      <c r="J157" s="258">
        <f>TRUNC((I157+H157),2)</f>
        <v>9.34</v>
      </c>
    </row>
    <row r="158" spans="1:10">
      <c r="A158" s="315"/>
      <c r="B158" s="357" t="s">
        <v>19</v>
      </c>
      <c r="C158" s="254" t="s">
        <v>174</v>
      </c>
      <c r="D158" s="316" t="s">
        <v>175</v>
      </c>
      <c r="E158" s="254" t="s">
        <v>15</v>
      </c>
      <c r="F158" s="317">
        <v>0.224</v>
      </c>
      <c r="G158" s="258">
        <v>14.23</v>
      </c>
      <c r="H158" s="258">
        <v>0</v>
      </c>
      <c r="I158" s="258">
        <f>TRUNC((G158*F158),2)</f>
        <v>3.18</v>
      </c>
      <c r="J158" s="258"/>
    </row>
    <row r="159" spans="1:10">
      <c r="A159" s="315"/>
      <c r="B159" s="357" t="s">
        <v>19</v>
      </c>
      <c r="C159" s="357" t="s">
        <v>176</v>
      </c>
      <c r="D159" s="358" t="s">
        <v>177</v>
      </c>
      <c r="E159" s="254" t="s">
        <v>15</v>
      </c>
      <c r="F159" s="317">
        <v>0.224</v>
      </c>
      <c r="G159" s="258">
        <v>18.38</v>
      </c>
      <c r="H159" s="258">
        <v>0</v>
      </c>
      <c r="I159" s="258">
        <f>TRUNC((G159*F159),2)</f>
        <v>4.1100000000000003</v>
      </c>
      <c r="J159" s="258"/>
    </row>
    <row r="160" spans="1:10">
      <c r="A160" s="315"/>
      <c r="B160" s="357" t="s">
        <v>24</v>
      </c>
      <c r="C160" s="357">
        <v>1902</v>
      </c>
      <c r="D160" s="358" t="s">
        <v>178</v>
      </c>
      <c r="E160" s="254" t="s">
        <v>17</v>
      </c>
      <c r="F160" s="317">
        <v>1</v>
      </c>
      <c r="G160" s="258">
        <v>2.0499999999999998</v>
      </c>
      <c r="H160" s="258">
        <f>TRUNC((G160*F160),2)</f>
        <v>2.0499999999999998</v>
      </c>
      <c r="I160" s="258">
        <v>0</v>
      </c>
      <c r="J160" s="258"/>
    </row>
    <row r="161" spans="1:10">
      <c r="A161" s="315"/>
      <c r="B161" s="359"/>
      <c r="C161" s="359"/>
      <c r="D161" s="360" t="s">
        <v>179</v>
      </c>
      <c r="E161" s="261"/>
      <c r="F161" s="270"/>
      <c r="G161" s="265"/>
      <c r="H161" s="265"/>
      <c r="I161" s="265"/>
      <c r="J161" s="271"/>
    </row>
    <row r="163" spans="1:10" ht="33.75">
      <c r="A163" s="346">
        <v>26</v>
      </c>
      <c r="B163" s="305" t="s">
        <v>169</v>
      </c>
      <c r="C163" s="313">
        <v>92364</v>
      </c>
      <c r="D163" s="321" t="s">
        <v>180</v>
      </c>
      <c r="E163" s="305" t="s">
        <v>1</v>
      </c>
      <c r="F163" s="350"/>
      <c r="G163" s="308"/>
      <c r="H163" s="308">
        <f>SUM(H164:H166)</f>
        <v>26.24</v>
      </c>
      <c r="I163" s="308">
        <f>SUM(I164:I166)</f>
        <v>5.8</v>
      </c>
      <c r="J163" s="258">
        <f>TRUNC((I163+H163),2)</f>
        <v>32.04</v>
      </c>
    </row>
    <row r="164" spans="1:10">
      <c r="A164" s="315"/>
      <c r="B164" s="254" t="s">
        <v>19</v>
      </c>
      <c r="C164" s="254">
        <v>88248</v>
      </c>
      <c r="D164" s="316" t="s">
        <v>175</v>
      </c>
      <c r="E164" s="254" t="s">
        <v>15</v>
      </c>
      <c r="F164" s="317">
        <v>0.17799999999999999</v>
      </c>
      <c r="G164" s="258">
        <v>14.23</v>
      </c>
      <c r="H164" s="258">
        <v>0</v>
      </c>
      <c r="I164" s="258">
        <f>TRUNC((G164*F164),2)</f>
        <v>2.5299999999999998</v>
      </c>
      <c r="J164" s="258"/>
    </row>
    <row r="165" spans="1:10">
      <c r="A165" s="315"/>
      <c r="B165" s="254" t="s">
        <v>19</v>
      </c>
      <c r="C165" s="254">
        <v>88267</v>
      </c>
      <c r="D165" s="316" t="s">
        <v>177</v>
      </c>
      <c r="E165" s="254" t="s">
        <v>15</v>
      </c>
      <c r="F165" s="317">
        <v>0.17799999999999999</v>
      </c>
      <c r="G165" s="258">
        <v>18.38</v>
      </c>
      <c r="H165" s="258">
        <v>0</v>
      </c>
      <c r="I165" s="258">
        <f>TRUNC((G165*F165),2)</f>
        <v>3.27</v>
      </c>
      <c r="J165" s="258"/>
    </row>
    <row r="166" spans="1:10" ht="22.5">
      <c r="A166" s="315"/>
      <c r="B166" s="254" t="s">
        <v>24</v>
      </c>
      <c r="C166" s="254">
        <v>7698</v>
      </c>
      <c r="D166" s="316" t="s">
        <v>181</v>
      </c>
      <c r="E166" s="254" t="s">
        <v>1</v>
      </c>
      <c r="F166" s="317">
        <v>1.0389999999999999</v>
      </c>
      <c r="G166" s="258">
        <v>25.26</v>
      </c>
      <c r="H166" s="258">
        <f>TRUNC((G166*F166),2)</f>
        <v>26.24</v>
      </c>
      <c r="I166" s="258">
        <v>0</v>
      </c>
      <c r="J166" s="258"/>
    </row>
    <row r="168" spans="1:10" ht="33.75">
      <c r="A168" s="346">
        <v>27</v>
      </c>
      <c r="B168" s="305" t="s">
        <v>182</v>
      </c>
      <c r="C168" s="313">
        <v>94975</v>
      </c>
      <c r="D168" s="316" t="s">
        <v>183</v>
      </c>
      <c r="E168" s="305" t="s">
        <v>47</v>
      </c>
      <c r="F168" s="350" t="s">
        <v>18</v>
      </c>
      <c r="G168" s="308"/>
      <c r="H168" s="308">
        <f>SUM(H169:H172)</f>
        <v>201.84</v>
      </c>
      <c r="I168" s="308">
        <f>SUM(I169:I172)</f>
        <v>156.31</v>
      </c>
      <c r="J168" s="258">
        <f>TRUNC((I168+H168),2)</f>
        <v>358.15</v>
      </c>
    </row>
    <row r="169" spans="1:10">
      <c r="A169" s="260"/>
      <c r="B169" s="254" t="s">
        <v>19</v>
      </c>
      <c r="C169" s="254" t="s">
        <v>34</v>
      </c>
      <c r="D169" s="316" t="s">
        <v>21</v>
      </c>
      <c r="E169" s="254" t="s">
        <v>15</v>
      </c>
      <c r="F169" s="317">
        <v>10.02</v>
      </c>
      <c r="G169" s="258">
        <v>15.6</v>
      </c>
      <c r="H169" s="258">
        <v>0</v>
      </c>
      <c r="I169" s="258">
        <f>TRUNC((G169*F169),2)</f>
        <v>156.31</v>
      </c>
      <c r="J169" s="258"/>
    </row>
    <row r="170" spans="1:10">
      <c r="A170" s="260"/>
      <c r="B170" s="254" t="s">
        <v>24</v>
      </c>
      <c r="C170" s="254">
        <v>370</v>
      </c>
      <c r="D170" s="316" t="s">
        <v>184</v>
      </c>
      <c r="E170" s="254" t="s">
        <v>47</v>
      </c>
      <c r="F170" s="317">
        <v>0.81799999999999995</v>
      </c>
      <c r="G170" s="258">
        <v>47.95</v>
      </c>
      <c r="H170" s="258">
        <f>TRUNC((G170*F170),2)</f>
        <v>39.22</v>
      </c>
      <c r="I170" s="258">
        <v>0</v>
      </c>
      <c r="J170" s="258"/>
    </row>
    <row r="171" spans="1:10">
      <c r="A171" s="260"/>
      <c r="B171" s="254" t="s">
        <v>24</v>
      </c>
      <c r="C171" s="254" t="s">
        <v>185</v>
      </c>
      <c r="D171" s="316" t="s">
        <v>186</v>
      </c>
      <c r="E171" s="254" t="s">
        <v>161</v>
      </c>
      <c r="F171" s="317">
        <v>277.72000000000003</v>
      </c>
      <c r="G171" s="258">
        <v>0.47</v>
      </c>
      <c r="H171" s="258">
        <f>TRUNC((G171*F171),2)</f>
        <v>130.52000000000001</v>
      </c>
      <c r="I171" s="258">
        <v>0</v>
      </c>
      <c r="J171" s="258"/>
    </row>
    <row r="172" spans="1:10">
      <c r="A172" s="260"/>
      <c r="B172" s="254" t="s">
        <v>24</v>
      </c>
      <c r="C172" s="254" t="s">
        <v>187</v>
      </c>
      <c r="D172" s="316" t="s">
        <v>188</v>
      </c>
      <c r="E172" s="254" t="s">
        <v>47</v>
      </c>
      <c r="F172" s="317">
        <v>0.58899999999999997</v>
      </c>
      <c r="G172" s="258">
        <v>54.5</v>
      </c>
      <c r="H172" s="258">
        <f>TRUNC((G172*F172),2)</f>
        <v>32.1</v>
      </c>
      <c r="I172" s="258">
        <v>0</v>
      </c>
      <c r="J172" s="258"/>
    </row>
    <row r="174" spans="1:10" s="361" customFormat="1">
      <c r="A174" s="253">
        <v>28</v>
      </c>
      <c r="B174" s="295" t="s">
        <v>25</v>
      </c>
      <c r="C174" s="313" t="s">
        <v>268</v>
      </c>
      <c r="D174" s="321" t="s">
        <v>269</v>
      </c>
      <c r="E174" s="305" t="s">
        <v>47</v>
      </c>
      <c r="F174" s="350" t="s">
        <v>18</v>
      </c>
      <c r="G174" s="308"/>
      <c r="H174" s="308">
        <f>SUM(H175:H177)</f>
        <v>0.39</v>
      </c>
      <c r="I174" s="308">
        <f>SUM(I175:I177)</f>
        <v>90.31</v>
      </c>
      <c r="J174" s="258">
        <f>TRUNC((I174+H174),2)</f>
        <v>90.7</v>
      </c>
    </row>
    <row r="175" spans="1:10" s="361" customFormat="1">
      <c r="A175" s="260"/>
      <c r="B175" s="254" t="s">
        <v>19</v>
      </c>
      <c r="C175" s="254" t="s">
        <v>270</v>
      </c>
      <c r="D175" s="316" t="s">
        <v>127</v>
      </c>
      <c r="E175" s="254" t="s">
        <v>15</v>
      </c>
      <c r="F175" s="317">
        <v>1.5</v>
      </c>
      <c r="G175" s="258">
        <v>18.61</v>
      </c>
      <c r="H175" s="258">
        <v>0</v>
      </c>
      <c r="I175" s="258">
        <f>TRUNC((G175*F175),2)</f>
        <v>27.91</v>
      </c>
      <c r="J175" s="258"/>
    </row>
    <row r="176" spans="1:10" s="361" customFormat="1">
      <c r="A176" s="260"/>
      <c r="B176" s="254" t="s">
        <v>19</v>
      </c>
      <c r="C176" s="254" t="s">
        <v>34</v>
      </c>
      <c r="D176" s="316" t="s">
        <v>21</v>
      </c>
      <c r="E176" s="254" t="s">
        <v>15</v>
      </c>
      <c r="F176" s="317">
        <v>4</v>
      </c>
      <c r="G176" s="258">
        <v>15.6</v>
      </c>
      <c r="H176" s="258">
        <v>0</v>
      </c>
      <c r="I176" s="258">
        <f>TRUNC((G176*F176),2)</f>
        <v>62.4</v>
      </c>
      <c r="J176" s="258"/>
    </row>
    <row r="177" spans="1:10" s="361" customFormat="1" ht="22.5">
      <c r="A177" s="260"/>
      <c r="B177" s="254" t="s">
        <v>19</v>
      </c>
      <c r="C177" s="254" t="s">
        <v>271</v>
      </c>
      <c r="D177" s="316" t="s">
        <v>272</v>
      </c>
      <c r="E177" s="254" t="s">
        <v>20</v>
      </c>
      <c r="F177" s="317">
        <v>0.3</v>
      </c>
      <c r="G177" s="258">
        <v>1.3</v>
      </c>
      <c r="H177" s="258">
        <f>TRUNC((G177*F177),2)</f>
        <v>0.39</v>
      </c>
      <c r="I177" s="258">
        <v>0</v>
      </c>
      <c r="J177" s="258"/>
    </row>
  </sheetData>
  <mergeCells count="12">
    <mergeCell ref="A5:J5"/>
    <mergeCell ref="A7:A8"/>
    <mergeCell ref="G7:G8"/>
    <mergeCell ref="H7:H8"/>
    <mergeCell ref="I7:I8"/>
    <mergeCell ref="J7:J8"/>
    <mergeCell ref="B7:B8"/>
    <mergeCell ref="C7:C8"/>
    <mergeCell ref="D7:D8"/>
    <mergeCell ref="E7:E8"/>
    <mergeCell ref="F7:F8"/>
    <mergeCell ref="D6:J6"/>
  </mergeCells>
  <conditionalFormatting sqref="H35:J35 E146:J146 B65:J65 B93:J93 E101:G101 E71:G71 E47:G47 E118:G118 B130:J130 B135:J135 B140:I140 B143:J143 C123:J123 E53:J53 E59:J59">
    <cfRule type="expression" dxfId="225" priority="5219" stopIfTrue="1">
      <formula>AND($B35&lt;&gt;"COMPOSICAO",$B35&lt;&gt;"INSUMO",$B35&lt;&gt;"")</formula>
    </cfRule>
    <cfRule type="expression" dxfId="224" priority="5220" stopIfTrue="1">
      <formula>AND(OR($B35="COMPOSICAO",$B35="INSUMO",$B35&lt;&gt;""),$B35&lt;&gt;"")</formula>
    </cfRule>
  </conditionalFormatting>
  <conditionalFormatting sqref="E81">
    <cfRule type="expression" dxfId="223" priority="370" stopIfTrue="1">
      <formula>AND($B81&lt;&gt;"COMPOSICAO",$B81&lt;&gt;"INSUMO",$B81&lt;&gt;"")</formula>
    </cfRule>
    <cfRule type="expression" dxfId="222" priority="371" stopIfTrue="1">
      <formula>AND(OR($B81="COMPOSICAO",$B81="INSUMO",$B81&lt;&gt;""),$B81&lt;&gt;"")</formula>
    </cfRule>
  </conditionalFormatting>
  <conditionalFormatting sqref="E87">
    <cfRule type="expression" dxfId="221" priority="366" stopIfTrue="1">
      <formula>AND($B87&lt;&gt;"COMPOSICAO",$B87&lt;&gt;"INSUMO",$B87&lt;&gt;"")</formula>
    </cfRule>
    <cfRule type="expression" dxfId="220" priority="367" stopIfTrue="1">
      <formula>AND(OR($B87="COMPOSICAO",$B87="INSUMO",$B87&lt;&gt;""),$B87&lt;&gt;"")</formula>
    </cfRule>
  </conditionalFormatting>
  <conditionalFormatting sqref="H87:J87">
    <cfRule type="expression" dxfId="219" priority="368" stopIfTrue="1">
      <formula>AND($B87&lt;&gt;"COMPOSICAO",$B87&lt;&gt;"INSUMO",$B87&lt;&gt;"")</formula>
    </cfRule>
    <cfRule type="expression" dxfId="218" priority="369" stopIfTrue="1">
      <formula>AND(OR($B87="COMPOSICAO",$B87="INSUMO",$B87&lt;&gt;""),$B87&lt;&gt;"")</formula>
    </cfRule>
  </conditionalFormatting>
  <conditionalFormatting sqref="D101">
    <cfRule type="expression" dxfId="217" priority="359" stopIfTrue="1">
      <formula>AND($B101&lt;&gt;"COMPOSICAO",$B101&lt;&gt;"INSUMO",$B101&lt;&gt;"")</formula>
    </cfRule>
    <cfRule type="expression" dxfId="216" priority="360" stopIfTrue="1">
      <formula>AND(OR($B101="COMPOSICAO",$B101="INSUMO",$B101&lt;&gt;""),$B101&lt;&gt;"")</formula>
    </cfRule>
  </conditionalFormatting>
  <conditionalFormatting sqref="B101:C101">
    <cfRule type="expression" dxfId="215" priority="357" stopIfTrue="1">
      <formula>AND($B101&lt;&gt;"COMPOSICAO",$B101&lt;&gt;"INSUMO",$B101&lt;&gt;"")</formula>
    </cfRule>
    <cfRule type="expression" dxfId="214" priority="358" stopIfTrue="1">
      <formula>AND(OR($B101="COMPOSICAO",$B101="INSUMO",$B101&lt;&gt;""),$B101&lt;&gt;"")</formula>
    </cfRule>
  </conditionalFormatting>
  <conditionalFormatting sqref="J101">
    <cfRule type="expression" dxfId="213" priority="353" stopIfTrue="1">
      <formula>AND($B101&lt;&gt;"COMPOSICAO",$B101&lt;&gt;"INSUMO",$B101&lt;&gt;"")</formula>
    </cfRule>
    <cfRule type="expression" dxfId="212" priority="354" stopIfTrue="1">
      <formula>AND(OR($B101="COMPOSICAO",$B101="INSUMO",$B101&lt;&gt;""),$B101&lt;&gt;"")</formula>
    </cfRule>
  </conditionalFormatting>
  <conditionalFormatting sqref="H101">
    <cfRule type="expression" dxfId="211" priority="351" stopIfTrue="1">
      <formula>AND($B101&lt;&gt;"COMPOSICAO",$B101&lt;&gt;"INSUMO",$B101&lt;&gt;"")</formula>
    </cfRule>
    <cfRule type="expression" dxfId="210" priority="352" stopIfTrue="1">
      <formula>AND(OR($B101="COMPOSICAO",$B101="INSUMO",$B101&lt;&gt;""),$B101&lt;&gt;"")</formula>
    </cfRule>
  </conditionalFormatting>
  <conditionalFormatting sqref="I101">
    <cfRule type="expression" dxfId="209" priority="349" stopIfTrue="1">
      <formula>AND($B101&lt;&gt;"COMPOSICAO",$B101&lt;&gt;"INSUMO",$B101&lt;&gt;"")</formula>
    </cfRule>
    <cfRule type="expression" dxfId="208" priority="350" stopIfTrue="1">
      <formula>AND(OR($B101="COMPOSICAO",$B101="INSUMO",$B101&lt;&gt;""),$B101&lt;&gt;"")</formula>
    </cfRule>
  </conditionalFormatting>
  <conditionalFormatting sqref="I118">
    <cfRule type="expression" dxfId="207" priority="336" stopIfTrue="1">
      <formula>AND($B118&lt;&gt;"COMPOSICAO",$B118&lt;&gt;"INSUMO",$B118&lt;&gt;"")</formula>
    </cfRule>
    <cfRule type="expression" dxfId="206" priority="337" stopIfTrue="1">
      <formula>AND(OR($B118="COMPOSICAO",$B118="INSUMO",$B118&lt;&gt;""),$B118&lt;&gt;"")</formula>
    </cfRule>
  </conditionalFormatting>
  <conditionalFormatting sqref="G21 G9:I9 H24:H25 J24:J25 J34 H34">
    <cfRule type="expression" dxfId="205" priority="698" stopIfTrue="1">
      <formula>AND($B9&lt;&gt;"COMPOSICAO",$B9&lt;&gt;"INSUMO",$B9&lt;&gt;"")</formula>
    </cfRule>
    <cfRule type="expression" dxfId="204" priority="699" stopIfTrue="1">
      <formula>AND(OR($B9="COMPOSICAO",$B9="INSUMO",$B9&lt;&gt;""),$B9&lt;&gt;"")</formula>
    </cfRule>
  </conditionalFormatting>
  <conditionalFormatting sqref="G24:G25 G34">
    <cfRule type="expression" dxfId="203" priority="696" stopIfTrue="1">
      <formula>AND($B24&lt;&gt;"COMPOSICAO",$B24&lt;&gt;"INSUMO",$B24&lt;&gt;"")</formula>
    </cfRule>
    <cfRule type="expression" dxfId="202" priority="697" stopIfTrue="1">
      <formula>AND(OR($B24="COMPOSICAO",$B24="INSUMO",$B24&lt;&gt;""),$B24&lt;&gt;"")</formula>
    </cfRule>
  </conditionalFormatting>
  <conditionalFormatting sqref="H21:I21">
    <cfRule type="expression" dxfId="201" priority="694" stopIfTrue="1">
      <formula>AND($B21&lt;&gt;"COMPOSICAO",$B21&lt;&gt;"INSUMO",$B21&lt;&gt;"")</formula>
    </cfRule>
    <cfRule type="expression" dxfId="200" priority="695" stopIfTrue="1">
      <formula>AND(OR($B21="COMPOSICAO",$B21="INSUMO",$B21&lt;&gt;""),$B21&lt;&gt;"")</formula>
    </cfRule>
  </conditionalFormatting>
  <conditionalFormatting sqref="B21:F21">
    <cfRule type="expression" dxfId="199" priority="692" stopIfTrue="1">
      <formula>AND($B21&lt;&gt;"COMPOSICAO",$B21&lt;&gt;"INSUMO",$B21&lt;&gt;"")</formula>
    </cfRule>
    <cfRule type="expression" dxfId="198" priority="693" stopIfTrue="1">
      <formula>AND(OR($B21="COMPOSICAO",$B21="INSUMO",$B21&lt;&gt;""),$B21&lt;&gt;"")</formula>
    </cfRule>
  </conditionalFormatting>
  <conditionalFormatting sqref="B9:D9 F9">
    <cfRule type="expression" dxfId="197" priority="690" stopIfTrue="1">
      <formula>AND($B9&lt;&gt;"COMPOSICAO",$B9&lt;&gt;"INSUMO",$B9&lt;&gt;"")</formula>
    </cfRule>
    <cfRule type="expression" dxfId="196" priority="691" stopIfTrue="1">
      <formula>AND(OR($B9="COMPOSICAO",$B9="INSUMO",$B9&lt;&gt;""),$B9&lt;&gt;"")</formula>
    </cfRule>
  </conditionalFormatting>
  <conditionalFormatting sqref="J9">
    <cfRule type="expression" dxfId="195" priority="688" stopIfTrue="1">
      <formula>AND($B9&lt;&gt;"COMPOSICAO",$B9&lt;&gt;"INSUMO",$B9&lt;&gt;"")</formula>
    </cfRule>
    <cfRule type="expression" dxfId="194" priority="689" stopIfTrue="1">
      <formula>AND(OR($B9="COMPOSICAO",$B9="INSUMO",$B9&lt;&gt;""),$B9&lt;&gt;"")</formula>
    </cfRule>
  </conditionalFormatting>
  <conditionalFormatting sqref="E9">
    <cfRule type="expression" dxfId="193" priority="686" stopIfTrue="1">
      <formula>AND($B9&lt;&gt;"COMPOSICAO",$B9&lt;&gt;"INSUMO",$B9&lt;&gt;"")</formula>
    </cfRule>
    <cfRule type="expression" dxfId="192" priority="687" stopIfTrue="1">
      <formula>AND(OR($B9="COMPOSICAO",$B9="INSUMO",$B9&lt;&gt;""),$B9&lt;&gt;"")</formula>
    </cfRule>
  </conditionalFormatting>
  <conditionalFormatting sqref="J21">
    <cfRule type="expression" dxfId="191" priority="668" stopIfTrue="1">
      <formula>AND($B21&lt;&gt;"COMPOSICAO",$B21&lt;&gt;"INSUMO",$B21&lt;&gt;"")</formula>
    </cfRule>
    <cfRule type="expression" dxfId="190" priority="669" stopIfTrue="1">
      <formula>AND(OR($B21="COMPOSICAO",$B21="INSUMO",$B21&lt;&gt;""),$B21&lt;&gt;"")</formula>
    </cfRule>
  </conditionalFormatting>
  <conditionalFormatting sqref="D71">
    <cfRule type="expression" dxfId="189" priority="570" stopIfTrue="1">
      <formula>AND($B71&lt;&gt;"COMPOSICAO",$B71&lt;&gt;"INSUMO",$B71&lt;&gt;"")</formula>
    </cfRule>
    <cfRule type="expression" dxfId="188" priority="571" stopIfTrue="1">
      <formula>AND(OR($B71="COMPOSICAO",$B71="INSUMO",$B71&lt;&gt;""),$B71&lt;&gt;"")</formula>
    </cfRule>
  </conditionalFormatting>
  <conditionalFormatting sqref="H71">
    <cfRule type="expression" dxfId="187" priority="566" stopIfTrue="1">
      <formula>AND($B71&lt;&gt;"COMPOSICAO",$B71&lt;&gt;"INSUMO",$B71&lt;&gt;"")</formula>
    </cfRule>
    <cfRule type="expression" dxfId="186" priority="567" stopIfTrue="1">
      <formula>AND(OR($B71="COMPOSICAO",$B71="INSUMO",$B71&lt;&gt;""),$B71&lt;&gt;"")</formula>
    </cfRule>
  </conditionalFormatting>
  <conditionalFormatting sqref="I71">
    <cfRule type="expression" dxfId="185" priority="564" stopIfTrue="1">
      <formula>AND($B71&lt;&gt;"COMPOSICAO",$B71&lt;&gt;"INSUMO",$B71&lt;&gt;"")</formula>
    </cfRule>
    <cfRule type="expression" dxfId="184" priority="565" stopIfTrue="1">
      <formula>AND(OR($B71="COMPOSICAO",$B71="INSUMO",$B71&lt;&gt;""),$B71&lt;&gt;"")</formula>
    </cfRule>
  </conditionalFormatting>
  <conditionalFormatting sqref="C71">
    <cfRule type="expression" dxfId="183" priority="562" stopIfTrue="1">
      <formula>AND($B71&lt;&gt;"COMPOSICAO",$B71&lt;&gt;"INSUMO",$B71&lt;&gt;"")</formula>
    </cfRule>
    <cfRule type="expression" dxfId="182" priority="563" stopIfTrue="1">
      <formula>AND(OR($B71="COMPOSICAO",$B71="INSUMO",$B71&lt;&gt;""),$B71&lt;&gt;"")</formula>
    </cfRule>
  </conditionalFormatting>
  <conditionalFormatting sqref="H76">
    <cfRule type="expression" dxfId="181" priority="558" stopIfTrue="1">
      <formula>AND($B76&lt;&gt;"COMPOSICAO",$B76&lt;&gt;"INSUMO",$B76&lt;&gt;"")</formula>
    </cfRule>
    <cfRule type="expression" dxfId="180" priority="559" stopIfTrue="1">
      <formula>AND(OR($B76="COMPOSICAO",$B76="INSUMO",$B76&lt;&gt;""),$B76&lt;&gt;"")</formula>
    </cfRule>
  </conditionalFormatting>
  <conditionalFormatting sqref="B71">
    <cfRule type="expression" dxfId="179" priority="572" stopIfTrue="1">
      <formula>AND($B71&lt;&gt;"COMPOSICAO",$B71&lt;&gt;"INSUMO",$B71&lt;&gt;"")</formula>
    </cfRule>
    <cfRule type="expression" dxfId="178" priority="573" stopIfTrue="1">
      <formula>AND(OR($B71="COMPOSICAO",$B71="INSUMO",$B71&lt;&gt;""),$B71&lt;&gt;"")</formula>
    </cfRule>
  </conditionalFormatting>
  <conditionalFormatting sqref="J71">
    <cfRule type="expression" dxfId="177" priority="560" stopIfTrue="1">
      <formula>AND($B71&lt;&gt;"COMPOSICAO",$B71&lt;&gt;"INSUMO",$B71&lt;&gt;"")</formula>
    </cfRule>
    <cfRule type="expression" dxfId="176" priority="561" stopIfTrue="1">
      <formula>AND(OR($B71="COMPOSICAO",$B71="INSUMO",$B71&lt;&gt;""),$B71&lt;&gt;"")</formula>
    </cfRule>
  </conditionalFormatting>
  <conditionalFormatting sqref="J76">
    <cfRule type="expression" dxfId="175" priority="554" stopIfTrue="1">
      <formula>AND($B76&lt;&gt;"COMPOSICAO",$B76&lt;&gt;"INSUMO",$B76&lt;&gt;"")</formula>
    </cfRule>
    <cfRule type="expression" dxfId="174" priority="555" stopIfTrue="1">
      <formula>AND(OR($B76="COMPOSICAO",$B76="INSUMO",$B76&lt;&gt;""),$B76&lt;&gt;"")</formula>
    </cfRule>
  </conditionalFormatting>
  <conditionalFormatting sqref="I76">
    <cfRule type="expression" dxfId="173" priority="556" stopIfTrue="1">
      <formula>AND($B76&lt;&gt;"COMPOSICAO",$B76&lt;&gt;"INSUMO",$B76&lt;&gt;"")</formula>
    </cfRule>
    <cfRule type="expression" dxfId="172" priority="557" stopIfTrue="1">
      <formula>AND(OR($B76="COMPOSICAO",$B76="INSUMO",$B76&lt;&gt;""),$B76&lt;&gt;"")</formula>
    </cfRule>
  </conditionalFormatting>
  <conditionalFormatting sqref="H81">
    <cfRule type="expression" dxfId="171" priority="538" stopIfTrue="1">
      <formula>AND($B81&lt;&gt;"COMPOSICAO",$B81&lt;&gt;"INSUMO",$B81&lt;&gt;"")</formula>
    </cfRule>
    <cfRule type="expression" dxfId="170" priority="539" stopIfTrue="1">
      <formula>AND(OR($B81="COMPOSICAO",$B81="INSUMO",$B81&lt;&gt;""),$B81&lt;&gt;"")</formula>
    </cfRule>
  </conditionalFormatting>
  <conditionalFormatting sqref="I81">
    <cfRule type="expression" dxfId="169" priority="536" stopIfTrue="1">
      <formula>AND($B81&lt;&gt;"COMPOSICAO",$B81&lt;&gt;"INSUMO",$B81&lt;&gt;"")</formula>
    </cfRule>
    <cfRule type="expression" dxfId="168" priority="537" stopIfTrue="1">
      <formula>AND(OR($B81="COMPOSICAO",$B81="INSUMO",$B81&lt;&gt;""),$B81&lt;&gt;"")</formula>
    </cfRule>
  </conditionalFormatting>
  <conditionalFormatting sqref="J81">
    <cfRule type="expression" dxfId="167" priority="534" stopIfTrue="1">
      <formula>AND($B81&lt;&gt;"COMPOSICAO",$B81&lt;&gt;"INSUMO",$B81&lt;&gt;"")</formula>
    </cfRule>
    <cfRule type="expression" dxfId="166" priority="535" stopIfTrue="1">
      <formula>AND(OR($B81="COMPOSICAO",$B81="INSUMO",$B81&lt;&gt;""),$B81&lt;&gt;"")</formula>
    </cfRule>
  </conditionalFormatting>
  <conditionalFormatting sqref="B47:C47">
    <cfRule type="expression" dxfId="165" priority="502" stopIfTrue="1">
      <formula>AND($B47&lt;&gt;"COMPOSICAO",$B47&lt;&gt;"INSUMO",$B47&lt;&gt;"")</formula>
    </cfRule>
    <cfRule type="expression" dxfId="164" priority="503" stopIfTrue="1">
      <formula>AND(OR($B47="COMPOSICAO",$B47="INSUMO",$B47&lt;&gt;""),$B47&lt;&gt;"")</formula>
    </cfRule>
  </conditionalFormatting>
  <conditionalFormatting sqref="D47">
    <cfRule type="expression" dxfId="163" priority="500" stopIfTrue="1">
      <formula>AND($B47&lt;&gt;"COMPOSICAO",$B47&lt;&gt;"INSUMO",$B47&lt;&gt;"")</formula>
    </cfRule>
    <cfRule type="expression" dxfId="162" priority="501" stopIfTrue="1">
      <formula>AND(OR($B47="COMPOSICAO",$B47="INSUMO",$B47&lt;&gt;""),$B47&lt;&gt;"")</formula>
    </cfRule>
  </conditionalFormatting>
  <conditionalFormatting sqref="H47">
    <cfRule type="expression" dxfId="161" priority="496" stopIfTrue="1">
      <formula>AND($B47&lt;&gt;"COMPOSICAO",$B47&lt;&gt;"INSUMO",$B47&lt;&gt;"")</formula>
    </cfRule>
    <cfRule type="expression" dxfId="160" priority="497" stopIfTrue="1">
      <formula>AND(OR($B47="COMPOSICAO",$B47="INSUMO",$B47&lt;&gt;""),$B47&lt;&gt;"")</formula>
    </cfRule>
  </conditionalFormatting>
  <conditionalFormatting sqref="I47">
    <cfRule type="expression" dxfId="159" priority="494" stopIfTrue="1">
      <formula>AND($B47&lt;&gt;"COMPOSICAO",$B47&lt;&gt;"INSUMO",$B47&lt;&gt;"")</formula>
    </cfRule>
    <cfRule type="expression" dxfId="158" priority="495" stopIfTrue="1">
      <formula>AND(OR($B47="COMPOSICAO",$B47="INSUMO",$B47&lt;&gt;""),$B47&lt;&gt;"")</formula>
    </cfRule>
  </conditionalFormatting>
  <conditionalFormatting sqref="J50">
    <cfRule type="dataBar" priority="4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{85A7B45C-C316-4FDE-BC9E-99D354933DCA}</x14:id>
        </ext>
      </extLst>
    </cfRule>
  </conditionalFormatting>
  <conditionalFormatting sqref="J47">
    <cfRule type="expression" dxfId="157" priority="490" stopIfTrue="1">
      <formula>AND($B47&lt;&gt;"COMPOSICAO",$B47&lt;&gt;"INSUMO",$B47&lt;&gt;"")</formula>
    </cfRule>
    <cfRule type="expression" dxfId="156" priority="491" stopIfTrue="1">
      <formula>AND(OR($B47="COMPOSICAO",$B47="INSUMO",$B47&lt;&gt;""),$B47&lt;&gt;"")</formula>
    </cfRule>
  </conditionalFormatting>
  <conditionalFormatting sqref="J41">
    <cfRule type="expression" dxfId="155" priority="478" stopIfTrue="1">
      <formula>AND($B41&lt;&gt;"COMPOSICAO",$B41&lt;&gt;"INSUMO",$B41&lt;&gt;"")</formula>
    </cfRule>
    <cfRule type="expression" dxfId="154" priority="479" stopIfTrue="1">
      <formula>AND(OR($B41="COMPOSICAO",$B41="INSUMO",$B41&lt;&gt;""),$B41&lt;&gt;"")</formula>
    </cfRule>
  </conditionalFormatting>
  <conditionalFormatting sqref="B41:C41 E41:F41">
    <cfRule type="expression" dxfId="153" priority="486" stopIfTrue="1">
      <formula>AND($B41&lt;&gt;"COMPOSICAO",$B41&lt;&gt;"INSUMO",$B41&lt;&gt;"")</formula>
    </cfRule>
    <cfRule type="expression" dxfId="152" priority="487" stopIfTrue="1">
      <formula>AND(OR($B41="COMPOSICAO",$B41="INSUMO",$B41&lt;&gt;""),$B41&lt;&gt;"")</formula>
    </cfRule>
  </conditionalFormatting>
  <conditionalFormatting sqref="G41">
    <cfRule type="expression" dxfId="151" priority="484" stopIfTrue="1">
      <formula>AND($B41&lt;&gt;"COMPOSICAO",$B41&lt;&gt;"INSUMO",$B41&lt;&gt;"")</formula>
    </cfRule>
    <cfRule type="expression" dxfId="150" priority="485" stopIfTrue="1">
      <formula>AND(OR($B41="COMPOSICAO",$B41="INSUMO",$B41&lt;&gt;""),$B41&lt;&gt;"")</formula>
    </cfRule>
  </conditionalFormatting>
  <conditionalFormatting sqref="I41">
    <cfRule type="expression" dxfId="149" priority="480" stopIfTrue="1">
      <formula>AND($B41&lt;&gt;"COMPOSICAO",$B41&lt;&gt;"INSUMO",$B41&lt;&gt;"")</formula>
    </cfRule>
    <cfRule type="expression" dxfId="148" priority="481" stopIfTrue="1">
      <formula>AND(OR($B41="COMPOSICAO",$B41="INSUMO",$B41&lt;&gt;""),$B41&lt;&gt;"")</formula>
    </cfRule>
  </conditionalFormatting>
  <conditionalFormatting sqref="H41">
    <cfRule type="expression" dxfId="147" priority="482" stopIfTrue="1">
      <formula>AND($B41&lt;&gt;"COMPOSICAO",$B41&lt;&gt;"INSUMO",$B41&lt;&gt;"")</formula>
    </cfRule>
    <cfRule type="expression" dxfId="146" priority="483" stopIfTrue="1">
      <formula>AND(OR($B41="COMPOSICAO",$B41="INSUMO",$B41&lt;&gt;""),$B41&lt;&gt;"")</formula>
    </cfRule>
  </conditionalFormatting>
  <conditionalFormatting sqref="D41">
    <cfRule type="expression" dxfId="145" priority="476" stopIfTrue="1">
      <formula>AND($B41&lt;&gt;"COMPOSICAO",$B41&lt;&gt;"INSUMO",$B41&lt;&gt;"")</formula>
    </cfRule>
    <cfRule type="expression" dxfId="144" priority="477" stopIfTrue="1">
      <formula>AND(OR($B41="COMPOSICAO",$B41="INSUMO",$B41&lt;&gt;""),$B41&lt;&gt;"")</formula>
    </cfRule>
  </conditionalFormatting>
  <conditionalFormatting sqref="J99">
    <cfRule type="dataBar" priority="3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{CED4A56D-6A25-4390-A51B-68A7555EACFC}</x14:id>
        </ext>
      </extLst>
    </cfRule>
  </conditionalFormatting>
  <conditionalFormatting sqref="J97">
    <cfRule type="dataBar" priority="3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{674E66F4-F765-4508-ABAF-FAE3947A12B6}</x14:id>
        </ext>
      </extLst>
    </cfRule>
  </conditionalFormatting>
  <conditionalFormatting sqref="J98">
    <cfRule type="dataBar" priority="3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{2C2E74B0-CA16-4B22-B352-05315F9350F2}</x14:id>
        </ext>
      </extLst>
    </cfRule>
  </conditionalFormatting>
  <conditionalFormatting sqref="J118">
    <cfRule type="expression" dxfId="143" priority="340" stopIfTrue="1">
      <formula>AND($B118&lt;&gt;"COMPOSICAO",$B118&lt;&gt;"INSUMO",$B118&lt;&gt;"")</formula>
    </cfRule>
    <cfRule type="expression" dxfId="142" priority="341" stopIfTrue="1">
      <formula>AND(OR($B118="COMPOSICAO",$B118="INSUMO",$B118&lt;&gt;""),$B118&lt;&gt;"")</formula>
    </cfRule>
  </conditionalFormatting>
  <conditionalFormatting sqref="H118">
    <cfRule type="expression" dxfId="141" priority="338" stopIfTrue="1">
      <formula>AND($B118&lt;&gt;"COMPOSICAO",$B118&lt;&gt;"INSUMO",$B118&lt;&gt;"")</formula>
    </cfRule>
    <cfRule type="expression" dxfId="140" priority="339" stopIfTrue="1">
      <formula>AND(OR($B118="COMPOSICAO",$B118="INSUMO",$B118&lt;&gt;""),$B118&lt;&gt;"")</formula>
    </cfRule>
  </conditionalFormatting>
  <conditionalFormatting sqref="B118:C118">
    <cfRule type="expression" dxfId="139" priority="346" stopIfTrue="1">
      <formula>AND($B118&lt;&gt;"COMPOSICAO",$B118&lt;&gt;"INSUMO",$B118&lt;&gt;"")</formula>
    </cfRule>
    <cfRule type="expression" dxfId="138" priority="347" stopIfTrue="1">
      <formula>AND(OR($B118="COMPOSICAO",$B118="INSUMO",$B118&lt;&gt;""),$B118&lt;&gt;"")</formula>
    </cfRule>
  </conditionalFormatting>
  <conditionalFormatting sqref="D118">
    <cfRule type="expression" dxfId="137" priority="344" stopIfTrue="1">
      <formula>AND($B118&lt;&gt;"COMPOSICAO",$B118&lt;&gt;"INSUMO",$B118&lt;&gt;"")</formula>
    </cfRule>
    <cfRule type="expression" dxfId="136" priority="345" stopIfTrue="1">
      <formula>AND(OR($B118="COMPOSICAO",$B118="INSUMO",$B118&lt;&gt;""),$B118&lt;&gt;"")</formula>
    </cfRule>
  </conditionalFormatting>
  <conditionalFormatting sqref="J116">
    <cfRule type="dataBar" priority="3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{266D55BA-77AB-4797-B732-0DEC7D04DC6E}</x14:id>
        </ext>
      </extLst>
    </cfRule>
  </conditionalFormatting>
  <conditionalFormatting sqref="J68">
    <cfRule type="dataBar" priority="3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{A20819CB-0E49-4612-82B8-2AEADDB409B0}</x14:id>
        </ext>
      </extLst>
    </cfRule>
  </conditionalFormatting>
  <conditionalFormatting sqref="J69">
    <cfRule type="dataBar" priority="3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{938C2700-273F-449E-AEFC-46247F093B24}</x14:id>
        </ext>
      </extLst>
    </cfRule>
  </conditionalFormatting>
  <conditionalFormatting sqref="D144:F144 J144 D141:F141 J140:J141">
    <cfRule type="expression" dxfId="135" priority="256" stopIfTrue="1">
      <formula>AND($B140&lt;&gt;"COMPOSICAO",$B140&lt;&gt;"INSUMO",$B140&lt;&gt;"")</formula>
    </cfRule>
    <cfRule type="expression" dxfId="134" priority="257" stopIfTrue="1">
      <formula>AND(OR($B140="COMPOSICAO",$B140="INSUMO",$B140&lt;&gt;""),$B140&lt;&gt;"")</formula>
    </cfRule>
  </conditionalFormatting>
  <conditionalFormatting sqref="J64">
    <cfRule type="dataBar" priority="2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{B42AEAC3-38DA-41DA-A7F0-989C6E880514}</x14:id>
        </ext>
      </extLst>
    </cfRule>
  </conditionalFormatting>
  <conditionalFormatting sqref="J51:J52">
    <cfRule type="dataBar" priority="52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{0A0C8F00-51DC-4EB6-B2E2-2A81E33C78B6}</x14:id>
        </ext>
      </extLst>
    </cfRule>
  </conditionalFormatting>
  <conditionalFormatting sqref="G22">
    <cfRule type="expression" dxfId="133" priority="249" stopIfTrue="1">
      <formula>AND($B22&lt;&gt;"COMPOSICAO",$B22&lt;&gt;"INSUMO",$B22&lt;&gt;"")</formula>
    </cfRule>
    <cfRule type="expression" dxfId="132" priority="250" stopIfTrue="1">
      <formula>AND(OR($B22="COMPOSICAO",$B22="INSUMO",$B22&lt;&gt;""),$B22&lt;&gt;"")</formula>
    </cfRule>
  </conditionalFormatting>
  <conditionalFormatting sqref="H22">
    <cfRule type="expression" dxfId="131" priority="247" stopIfTrue="1">
      <formula>AND($B22&lt;&gt;"COMPOSICAO",$B22&lt;&gt;"INSUMO",$B22&lt;&gt;"")</formula>
    </cfRule>
    <cfRule type="expression" dxfId="130" priority="248" stopIfTrue="1">
      <formula>AND(OR($B22="COMPOSICAO",$B22="INSUMO",$B22&lt;&gt;""),$B22&lt;&gt;"")</formula>
    </cfRule>
  </conditionalFormatting>
  <conditionalFormatting sqref="J22">
    <cfRule type="expression" dxfId="129" priority="245" stopIfTrue="1">
      <formula>AND($B22&lt;&gt;"COMPOSICAO",$B22&lt;&gt;"INSUMO",$B22&lt;&gt;"")</formula>
    </cfRule>
    <cfRule type="expression" dxfId="128" priority="246" stopIfTrue="1">
      <formula>AND(OR($B22="COMPOSICAO",$B22="INSUMO",$B22&lt;&gt;""),$B22&lt;&gt;"")</formula>
    </cfRule>
  </conditionalFormatting>
  <conditionalFormatting sqref="I22">
    <cfRule type="expression" dxfId="127" priority="243" stopIfTrue="1">
      <formula>AND($B22&lt;&gt;"COMPOSICAO",$B22&lt;&gt;"INSUMO",$B22&lt;&gt;"")</formula>
    </cfRule>
    <cfRule type="expression" dxfId="126" priority="244" stopIfTrue="1">
      <formula>AND(OR($B22="COMPOSICAO",$B22="INSUMO",$B22&lt;&gt;""),$B22&lt;&gt;"")</formula>
    </cfRule>
  </conditionalFormatting>
  <conditionalFormatting sqref="H90 J90">
    <cfRule type="expression" dxfId="125" priority="173" stopIfTrue="1">
      <formula>AND($B90&lt;&gt;"COMPOSICAO",$B90&lt;&gt;"INSUMO",$B90&lt;&gt;"")</formula>
    </cfRule>
    <cfRule type="expression" dxfId="124" priority="174" stopIfTrue="1">
      <formula>AND(OR($B90="COMPOSICAO",$B90="INSUMO",$B90&lt;&gt;""),$B90&lt;&gt;"")</formula>
    </cfRule>
  </conditionalFormatting>
  <conditionalFormatting sqref="G90">
    <cfRule type="expression" dxfId="123" priority="171" stopIfTrue="1">
      <formula>AND($B90&lt;&gt;"COMPOSICAO",$B90&lt;&gt;"INSUMO",$B90&lt;&gt;"")</formula>
    </cfRule>
    <cfRule type="expression" dxfId="122" priority="172" stopIfTrue="1">
      <formula>AND(OR($B90="COMPOSICAO",$B90="INSUMO",$B90&lt;&gt;""),$B90&lt;&gt;"")</formula>
    </cfRule>
  </conditionalFormatting>
  <conditionalFormatting sqref="B123">
    <cfRule type="expression" dxfId="121" priority="151" stopIfTrue="1">
      <formula>AND($B123&lt;&gt;"COMPOSICAO",$B123&lt;&gt;"INSUMO",$B123&lt;&gt;"")</formula>
    </cfRule>
    <cfRule type="expression" dxfId="120" priority="152" stopIfTrue="1">
      <formula>AND(OR($B123="COMPOSICAO",$B123="INSUMO",$B123&lt;&gt;""),$B123&lt;&gt;"")</formula>
    </cfRule>
  </conditionalFormatting>
  <conditionalFormatting sqref="G125:J125">
    <cfRule type="expression" dxfId="119" priority="149" stopIfTrue="1">
      <formula>AND($B125&lt;&gt;"COMPOSICAO",$B125&lt;&gt;"INSUMO",$B125&lt;&gt;"")</formula>
    </cfRule>
    <cfRule type="expression" dxfId="118" priority="150" stopIfTrue="1">
      <formula>AND(OR($B125="COMPOSICAO",$B125="INSUMO",$B125&lt;&gt;""),$B125&lt;&gt;"")</formula>
    </cfRule>
  </conditionalFormatting>
  <conditionalFormatting sqref="G127">
    <cfRule type="expression" dxfId="117" priority="147" stopIfTrue="1">
      <formula>AND($B127&lt;&gt;"COMPOSICAO",$B127&lt;&gt;"INSUMO",$B127&lt;&gt;"")</formula>
    </cfRule>
    <cfRule type="expression" dxfId="116" priority="148" stopIfTrue="1">
      <formula>AND(OR($B127="COMPOSICAO",$B127="INSUMO",$B127&lt;&gt;""),$B127&lt;&gt;"")</formula>
    </cfRule>
  </conditionalFormatting>
  <conditionalFormatting sqref="H127">
    <cfRule type="expression" dxfId="115" priority="145" stopIfTrue="1">
      <formula>AND($B127&lt;&gt;"COMPOSICAO",$B127&lt;&gt;"INSUMO",$B127&lt;&gt;"")</formula>
    </cfRule>
    <cfRule type="expression" dxfId="114" priority="146" stopIfTrue="1">
      <formula>AND(OR($B127="COMPOSICAO",$B127="INSUMO",$B127&lt;&gt;""),$B127&lt;&gt;"")</formula>
    </cfRule>
  </conditionalFormatting>
  <conditionalFormatting sqref="J127">
    <cfRule type="expression" dxfId="113" priority="143" stopIfTrue="1">
      <formula>AND($B127&lt;&gt;"COMPOSICAO",$B127&lt;&gt;"INSUMO",$B127&lt;&gt;"")</formula>
    </cfRule>
    <cfRule type="expression" dxfId="112" priority="144" stopIfTrue="1">
      <formula>AND(OR($B127="COMPOSICAO",$B127="INSUMO",$B127&lt;&gt;""),$B127&lt;&gt;"")</formula>
    </cfRule>
  </conditionalFormatting>
  <conditionalFormatting sqref="I127">
    <cfRule type="expression" dxfId="111" priority="141" stopIfTrue="1">
      <formula>AND($B127&lt;&gt;"COMPOSICAO",$B127&lt;&gt;"INSUMO",$B127&lt;&gt;"")</formula>
    </cfRule>
    <cfRule type="expression" dxfId="110" priority="142" stopIfTrue="1">
      <formula>AND(OR($B127="COMPOSICAO",$B127="INSUMO",$B127&lt;&gt;""),$B127&lt;&gt;"")</formula>
    </cfRule>
  </conditionalFormatting>
  <conditionalFormatting sqref="H128 J128">
    <cfRule type="expression" dxfId="109" priority="139" stopIfTrue="1">
      <formula>AND($B128&lt;&gt;"COMPOSICAO",$B128&lt;&gt;"INSUMO",$B128&lt;&gt;"")</formula>
    </cfRule>
    <cfRule type="expression" dxfId="108" priority="140" stopIfTrue="1">
      <formula>AND(OR($B128="COMPOSICAO",$B128="INSUMO",$B128&lt;&gt;""),$B128&lt;&gt;"")</formula>
    </cfRule>
  </conditionalFormatting>
  <conditionalFormatting sqref="G128">
    <cfRule type="expression" dxfId="107" priority="137" stopIfTrue="1">
      <formula>AND($B128&lt;&gt;"COMPOSICAO",$B128&lt;&gt;"INSUMO",$B128&lt;&gt;"")</formula>
    </cfRule>
    <cfRule type="expression" dxfId="106" priority="138" stopIfTrue="1">
      <formula>AND(OR($B128="COMPOSICAO",$B128="INSUMO",$B128&lt;&gt;""),$B128&lt;&gt;"")</formula>
    </cfRule>
  </conditionalFormatting>
  <conditionalFormatting sqref="G26">
    <cfRule type="expression" dxfId="105" priority="129" stopIfTrue="1">
      <formula>AND($B26&lt;&gt;"COMPOSICAO",$B26&lt;&gt;"INSUMO",$B26&lt;&gt;"")</formula>
    </cfRule>
    <cfRule type="expression" dxfId="104" priority="130" stopIfTrue="1">
      <formula>AND(OR($B26="COMPOSICAO",$B26="INSUMO",$B26&lt;&gt;""),$B26&lt;&gt;"")</formula>
    </cfRule>
  </conditionalFormatting>
  <conditionalFormatting sqref="H26:I26">
    <cfRule type="expression" dxfId="103" priority="127" stopIfTrue="1">
      <formula>AND($B26&lt;&gt;"COMPOSICAO",$B26&lt;&gt;"INSUMO",$B26&lt;&gt;"")</formula>
    </cfRule>
    <cfRule type="expression" dxfId="102" priority="128" stopIfTrue="1">
      <formula>AND(OR($B26="COMPOSICAO",$B26="INSUMO",$B26&lt;&gt;""),$B26&lt;&gt;"")</formula>
    </cfRule>
  </conditionalFormatting>
  <conditionalFormatting sqref="B26:C26">
    <cfRule type="expression" dxfId="101" priority="135" stopIfTrue="1">
      <formula>AND($B26&lt;&gt;"COMPOSICAO",$B26&lt;&gt;"INSUMO",$B26&lt;&gt;"")</formula>
    </cfRule>
    <cfRule type="expression" dxfId="100" priority="136" stopIfTrue="1">
      <formula>AND(OR($B26="COMPOSICAO",$B26="INSUMO",$B26&lt;&gt;""),$B26&lt;&gt;"")</formula>
    </cfRule>
  </conditionalFormatting>
  <conditionalFormatting sqref="D26">
    <cfRule type="expression" dxfId="99" priority="133" stopIfTrue="1">
      <formula>AND($B26&lt;&gt;"COMPOSICAO",$B26&lt;&gt;"INSUMO",$B26&lt;&gt;"")</formula>
    </cfRule>
    <cfRule type="expression" dxfId="98" priority="134" stopIfTrue="1">
      <formula>AND(OR($B26="COMPOSICAO",$B26="INSUMO",$B26&lt;&gt;""),$B26&lt;&gt;"")</formula>
    </cfRule>
  </conditionalFormatting>
  <conditionalFormatting sqref="E26:F26">
    <cfRule type="expression" dxfId="97" priority="131" stopIfTrue="1">
      <formula>AND($B26&lt;&gt;"COMPOSICAO",$B26&lt;&gt;"INSUMO",$B26&lt;&gt;"")</formula>
    </cfRule>
    <cfRule type="expression" dxfId="96" priority="132" stopIfTrue="1">
      <formula>AND(OR($B26="COMPOSICAO",$B26="INSUMO",$B26&lt;&gt;""),$B26&lt;&gt;"")</formula>
    </cfRule>
  </conditionalFormatting>
  <conditionalFormatting sqref="G27">
    <cfRule type="expression" dxfId="95" priority="125" stopIfTrue="1">
      <formula>AND($B27&lt;&gt;"COMPOSICAO",$B27&lt;&gt;"INSUMO",$B27&lt;&gt;"")</formula>
    </cfRule>
    <cfRule type="expression" dxfId="94" priority="126" stopIfTrue="1">
      <formula>AND(OR($B27="COMPOSICAO",$B27="INSUMO",$B27&lt;&gt;""),$B27&lt;&gt;"")</formula>
    </cfRule>
  </conditionalFormatting>
  <conditionalFormatting sqref="H27:H28">
    <cfRule type="expression" dxfId="93" priority="123" stopIfTrue="1">
      <formula>AND($B27&lt;&gt;"COMPOSICAO",$B27&lt;&gt;"INSUMO",$B27&lt;&gt;"")</formula>
    </cfRule>
    <cfRule type="expression" dxfId="92" priority="124" stopIfTrue="1">
      <formula>AND(OR($B27="COMPOSICAO",$B27="INSUMO",$B27&lt;&gt;""),$B27&lt;&gt;"")</formula>
    </cfRule>
  </conditionalFormatting>
  <conditionalFormatting sqref="J27:J28">
    <cfRule type="expression" dxfId="91" priority="121" stopIfTrue="1">
      <formula>AND($B27&lt;&gt;"COMPOSICAO",$B27&lt;&gt;"INSUMO",$B27&lt;&gt;"")</formula>
    </cfRule>
    <cfRule type="expression" dxfId="90" priority="122" stopIfTrue="1">
      <formula>AND(OR($B27="COMPOSICAO",$B27="INSUMO",$B27&lt;&gt;""),$B27&lt;&gt;"")</formula>
    </cfRule>
  </conditionalFormatting>
  <conditionalFormatting sqref="J26">
    <cfRule type="expression" dxfId="89" priority="119" stopIfTrue="1">
      <formula>AND($B26&lt;&gt;"COMPOSICAO",$B26&lt;&gt;"INSUMO",$B26&lt;&gt;"")</formula>
    </cfRule>
    <cfRule type="expression" dxfId="88" priority="120" stopIfTrue="1">
      <formula>AND(OR($B26="COMPOSICAO",$B26="INSUMO",$B26&lt;&gt;""),$B26&lt;&gt;"")</formula>
    </cfRule>
  </conditionalFormatting>
  <conditionalFormatting sqref="C61:C63">
    <cfRule type="expression" dxfId="87" priority="65" stopIfTrue="1">
      <formula>AND($A61&lt;&gt;"COMPOSICAO",$A61&lt;&gt;"INSUMO",$A61&lt;&gt;"")</formula>
    </cfRule>
    <cfRule type="expression" dxfId="86" priority="66" stopIfTrue="1">
      <formula>AND(OR($A61="COMPOSICAO",$A61="INSUMO",$A61&lt;&gt;""),$A61&lt;&gt;"")</formula>
    </cfRule>
  </conditionalFormatting>
  <conditionalFormatting sqref="B53">
    <cfRule type="expression" dxfId="85" priority="90" stopIfTrue="1">
      <formula>AND($B53&lt;&gt;"COMPOSICAO",$B53&lt;&gt;"INSUMO",$B53&lt;&gt;"")</formula>
    </cfRule>
    <cfRule type="expression" dxfId="84" priority="91" stopIfTrue="1">
      <formula>AND(OR($B53="COMPOSICAO",$B53="INSUMO",$B53&lt;&gt;""),$B53&lt;&gt;"")</formula>
    </cfRule>
  </conditionalFormatting>
  <conditionalFormatting sqref="F57">
    <cfRule type="expression" dxfId="83" priority="67" stopIfTrue="1">
      <formula>AND($A57&lt;&gt;"COMPOSICAO",$A57&lt;&gt;"INSUMO",$A57&lt;&gt;"")</formula>
    </cfRule>
    <cfRule type="expression" dxfId="82" priority="68" stopIfTrue="1">
      <formula>AND(OR($A57="COMPOSICAO",$A57="INSUMO",$A57&lt;&gt;""),$A57&lt;&gt;"")</formula>
    </cfRule>
  </conditionalFormatting>
  <conditionalFormatting sqref="B59">
    <cfRule type="expression" dxfId="81" priority="86" stopIfTrue="1">
      <formula>AND($B59&lt;&gt;"COMPOSICAO",$B59&lt;&gt;"INSUMO",$B59&lt;&gt;"")</formula>
    </cfRule>
    <cfRule type="expression" dxfId="80" priority="87" stopIfTrue="1">
      <formula>AND(OR($B59="COMPOSICAO",$B59="INSUMO",$B59&lt;&gt;""),$B59&lt;&gt;"")</formula>
    </cfRule>
  </conditionalFormatting>
  <conditionalFormatting sqref="D59">
    <cfRule type="expression" dxfId="79" priority="59" stopIfTrue="1">
      <formula>AND($B59&lt;&gt;"COMPOSICAO",$B59&lt;&gt;"INSUMO",$B59&lt;&gt;"")</formula>
    </cfRule>
    <cfRule type="expression" dxfId="78" priority="60" stopIfTrue="1">
      <formula>AND(OR($B59="COMPOSICAO",$B59="INSUMO",$B59&lt;&gt;""),$B59&lt;&gt;"")</formula>
    </cfRule>
  </conditionalFormatting>
  <conditionalFormatting sqref="J56 J58">
    <cfRule type="dataBar" priority="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{E2E7AB35-E733-46C6-A716-8F4A0D6EA1B8}</x14:id>
        </ext>
      </extLst>
    </cfRule>
  </conditionalFormatting>
  <conditionalFormatting sqref="J62">
    <cfRule type="dataBar" priority="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{CDA2696A-A597-4E17-8ED1-CF9E1996A79C}</x14:id>
        </ext>
      </extLst>
    </cfRule>
  </conditionalFormatting>
  <conditionalFormatting sqref="J63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{83571884-D245-4904-AF94-66E9099FA9D4}</x14:id>
        </ext>
      </extLst>
    </cfRule>
  </conditionalFormatting>
  <conditionalFormatting sqref="C58">
    <cfRule type="expression" dxfId="77" priority="80" stopIfTrue="1">
      <formula>AND($A58&lt;&gt;"COMPOSICAO",$A58&lt;&gt;"INSUMO",$A58&lt;&gt;"")</formula>
    </cfRule>
    <cfRule type="expression" dxfId="76" priority="81" stopIfTrue="1">
      <formula>AND(OR($A58="COMPOSICAO",$A58="INSUMO",$A58&lt;&gt;""),$A58&lt;&gt;"")</formula>
    </cfRule>
  </conditionalFormatting>
  <conditionalFormatting sqref="J57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{D034789A-8A94-40B9-8200-156024A63763}</x14:id>
        </ext>
      </extLst>
    </cfRule>
  </conditionalFormatting>
  <conditionalFormatting sqref="C55:C56">
    <cfRule type="expression" dxfId="75" priority="77" stopIfTrue="1">
      <formula>AND($A55&lt;&gt;"COMPOSICAO",$A55&lt;&gt;"INSUMO",$A55&lt;&gt;"")</formula>
    </cfRule>
    <cfRule type="expression" dxfId="74" priority="78" stopIfTrue="1">
      <formula>AND(OR($A55="COMPOSICAO",$A55="INSUMO",$A55&lt;&gt;""),$A55&lt;&gt;"")</formula>
    </cfRule>
  </conditionalFormatting>
  <conditionalFormatting sqref="C57">
    <cfRule type="expression" dxfId="73" priority="75" stopIfTrue="1">
      <formula>AND($A57&lt;&gt;"COMPOSICAO",$A57&lt;&gt;"INSUMO",$A57&lt;&gt;"")</formula>
    </cfRule>
    <cfRule type="expression" dxfId="72" priority="76" stopIfTrue="1">
      <formula>AND(OR($A57="COMPOSICAO",$A57="INSUMO",$A57&lt;&gt;""),$A57&lt;&gt;"")</formula>
    </cfRule>
  </conditionalFormatting>
  <conditionalFormatting sqref="D55">
    <cfRule type="expression" dxfId="71" priority="73" stopIfTrue="1">
      <formula>AND($A55&lt;&gt;"COMPOSICAO",$A55&lt;&gt;"INSUMO",$A55&lt;&gt;"")</formula>
    </cfRule>
    <cfRule type="expression" dxfId="70" priority="74" stopIfTrue="1">
      <formula>AND(OR($A55="COMPOSICAO",$A55="INSUMO",$A55&lt;&gt;""),$A55&lt;&gt;"")</formula>
    </cfRule>
  </conditionalFormatting>
  <conditionalFormatting sqref="D57">
    <cfRule type="expression" dxfId="69" priority="71" stopIfTrue="1">
      <formula>AND($A57&lt;&gt;"COMPOSICAO",$A57&lt;&gt;"INSUMO",$A57&lt;&gt;"")</formula>
    </cfRule>
    <cfRule type="expression" dxfId="68" priority="72" stopIfTrue="1">
      <formula>AND(OR($A57="COMPOSICAO",$A57="INSUMO",$A57&lt;&gt;""),$A57&lt;&gt;"")</formula>
    </cfRule>
  </conditionalFormatting>
  <conditionalFormatting sqref="F55:F56">
    <cfRule type="expression" dxfId="67" priority="69" stopIfTrue="1">
      <formula>AND($A55&lt;&gt;"COMPOSICAO",$A55&lt;&gt;"INSUMO",$A55&lt;&gt;"")</formula>
    </cfRule>
    <cfRule type="expression" dxfId="66" priority="70" stopIfTrue="1">
      <formula>AND(OR($A55="COMPOSICAO",$A55="INSUMO",$A55&lt;&gt;""),$A55&lt;&gt;"")</formula>
    </cfRule>
  </conditionalFormatting>
  <conditionalFormatting sqref="C53">
    <cfRule type="expression" dxfId="65" priority="63" stopIfTrue="1">
      <formula>AND($B53&lt;&gt;"COMPOSICAO",$B53&lt;&gt;"INSUMO",$B53&lt;&gt;"")</formula>
    </cfRule>
    <cfRule type="expression" dxfId="64" priority="64" stopIfTrue="1">
      <formula>AND(OR($B53="COMPOSICAO",$B53="INSUMO",$B53&lt;&gt;""),$B53&lt;&gt;"")</formula>
    </cfRule>
  </conditionalFormatting>
  <conditionalFormatting sqref="C59">
    <cfRule type="expression" dxfId="63" priority="61" stopIfTrue="1">
      <formula>AND($B59&lt;&gt;"COMPOSICAO",$B59&lt;&gt;"INSUMO",$B59&lt;&gt;"")</formula>
    </cfRule>
    <cfRule type="expression" dxfId="62" priority="62" stopIfTrue="1">
      <formula>AND(OR($B59="COMPOSICAO",$B59="INSUMO",$B59&lt;&gt;""),$B59&lt;&gt;"")</formula>
    </cfRule>
  </conditionalFormatting>
  <conditionalFormatting sqref="D61 D63">
    <cfRule type="expression" dxfId="61" priority="57" stopIfTrue="1">
      <formula>AND($A61&lt;&gt;"COMPOSICAO",$A61&lt;&gt;"INSUMO",$A61&lt;&gt;"")</formula>
    </cfRule>
    <cfRule type="expression" dxfId="60" priority="58" stopIfTrue="1">
      <formula>AND(OR($A61="COMPOSICAO",$A61="INSUMO",$A61&lt;&gt;""),$A61&lt;&gt;"")</formula>
    </cfRule>
  </conditionalFormatting>
  <conditionalFormatting sqref="F61:F63">
    <cfRule type="expression" dxfId="59" priority="55" stopIfTrue="1">
      <formula>AND($A61&lt;&gt;"COMPOSICAO",$A61&lt;&gt;"INSUMO",$A61&lt;&gt;"")</formula>
    </cfRule>
    <cfRule type="expression" dxfId="58" priority="56" stopIfTrue="1">
      <formula>AND(OR($A61="COMPOSICAO",$A61="INSUMO",$A61&lt;&gt;""),$A61&lt;&gt;"")</formula>
    </cfRule>
  </conditionalFormatting>
  <conditionalFormatting sqref="B146">
    <cfRule type="expression" dxfId="57" priority="53" stopIfTrue="1">
      <formula>AND($B146&lt;&gt;"COMPOSICAO",$B146&lt;&gt;"INSUMO",$B146&lt;&gt;"")</formula>
    </cfRule>
    <cfRule type="expression" dxfId="56" priority="54" stopIfTrue="1">
      <formula>AND(OR($B146="COMPOSICAO",$B146="INSUMO",$B146&lt;&gt;""),$B146&lt;&gt;"")</formula>
    </cfRule>
  </conditionalFormatting>
  <conditionalFormatting sqref="B148:C149 E148 E149:F149">
    <cfRule type="expression" dxfId="55" priority="51" stopIfTrue="1">
      <formula>AND($A148&lt;&gt;"COMPOSICAO",$A148&lt;&gt;"INSUMO",$A148&lt;&gt;"")</formula>
    </cfRule>
    <cfRule type="expression" dxfId="54" priority="52" stopIfTrue="1">
      <formula>AND(OR($A148="COMPOSICAO",$A148="INSUMO",$A148&lt;&gt;""),$A148&lt;&gt;"")</formula>
    </cfRule>
  </conditionalFormatting>
  <conditionalFormatting sqref="B150 E150:F150">
    <cfRule type="expression" dxfId="53" priority="49" stopIfTrue="1">
      <formula>AND($A150&lt;&gt;"COMPOSICAO",$A150&lt;&gt;"INSUMO",$A150&lt;&gt;"")</formula>
    </cfRule>
    <cfRule type="expression" dxfId="52" priority="50" stopIfTrue="1">
      <formula>AND(OR($A150="COMPOSICAO",$A150="INSUMO",$A150&lt;&gt;""),$A150&lt;&gt;"")</formula>
    </cfRule>
  </conditionalFormatting>
  <conditionalFormatting sqref="D146">
    <cfRule type="expression" dxfId="51" priority="47" stopIfTrue="1">
      <formula>AND($B146&lt;&gt;"COMPOSICAO",$B146&lt;&gt;"INSUMO",$B146&lt;&gt;"")</formula>
    </cfRule>
    <cfRule type="expression" dxfId="50" priority="48" stopIfTrue="1">
      <formula>AND(OR($B146="COMPOSICAO",$B146="INSUMO",$B146&lt;&gt;""),$B146&lt;&gt;"")</formula>
    </cfRule>
  </conditionalFormatting>
  <conditionalFormatting sqref="C150">
    <cfRule type="expression" dxfId="49" priority="45" stopIfTrue="1">
      <formula>AND($A150&lt;&gt;"COMPOSICAO",$A150&lt;&gt;"INSUMO",$A150&lt;&gt;"")</formula>
    </cfRule>
    <cfRule type="expression" dxfId="48" priority="46" stopIfTrue="1">
      <formula>AND(OR($A150="COMPOSICAO",$A150="INSUMO",$A150&lt;&gt;""),$A150&lt;&gt;"")</formula>
    </cfRule>
  </conditionalFormatting>
  <conditionalFormatting sqref="C146">
    <cfRule type="expression" dxfId="47" priority="43" stopIfTrue="1">
      <formula>AND($B146&lt;&gt;"COMPOSICAO",$B146&lt;&gt;"INSUMO",$B146&lt;&gt;"")</formula>
    </cfRule>
    <cfRule type="expression" dxfId="46" priority="44" stopIfTrue="1">
      <formula>AND(OR($B146="COMPOSICAO",$B146="INSUMO",$B146&lt;&gt;""),$B146&lt;&gt;"")</formula>
    </cfRule>
  </conditionalFormatting>
  <conditionalFormatting sqref="A146">
    <cfRule type="expression" dxfId="45" priority="41" stopIfTrue="1">
      <formula>AND($B146&lt;&gt;"COMPOSICAO",$B146&lt;&gt;"INSUMO",$B146&lt;&gt;"")</formula>
    </cfRule>
    <cfRule type="expression" dxfId="44" priority="42" stopIfTrue="1">
      <formula>AND(OR($B146="COMPOSICAO",$B146="INSUMO",$B146&lt;&gt;""),$B146&lt;&gt;"")</formula>
    </cfRule>
  </conditionalFormatting>
  <conditionalFormatting sqref="B152:C152 E152:J152">
    <cfRule type="expression" dxfId="43" priority="39" stopIfTrue="1">
      <formula>AND($B152&lt;&gt;"COMPOSICAO",$B152&lt;&gt;"INSUMO",$B152&lt;&gt;"")</formula>
    </cfRule>
    <cfRule type="expression" dxfId="42" priority="40" stopIfTrue="1">
      <formula>AND(OR($B152="COMPOSICAO",$B152="INSUMO",$B152&lt;&gt;""),$B152&lt;&gt;"")</formula>
    </cfRule>
  </conditionalFormatting>
  <conditionalFormatting sqref="B155:F155 B154 E154">
    <cfRule type="expression" dxfId="41" priority="37" stopIfTrue="1">
      <formula>AND($A154&lt;&gt;"COMPOSICAO",$A154&lt;&gt;"INSUMO",$A154&lt;&gt;"")</formula>
    </cfRule>
    <cfRule type="expression" dxfId="40" priority="38" stopIfTrue="1">
      <formula>AND(OR($A154="COMPOSICAO",$A154="INSUMO",$A154&lt;&gt;""),$A154&lt;&gt;"")</formula>
    </cfRule>
  </conditionalFormatting>
  <conditionalFormatting sqref="B157:J157">
    <cfRule type="expression" dxfId="39" priority="35" stopIfTrue="1">
      <formula>AND($B157&lt;&gt;"COMPOSICAO",$B157&lt;&gt;"INSUMO",$B157&lt;&gt;"")</formula>
    </cfRule>
    <cfRule type="expression" dxfId="38" priority="36" stopIfTrue="1">
      <formula>AND(OR($B157="COMPOSICAO",$B157="INSUMO",$B157&lt;&gt;""),$B157&lt;&gt;"")</formula>
    </cfRule>
  </conditionalFormatting>
  <conditionalFormatting sqref="B159:F160 B161:C161 E161:F161">
    <cfRule type="expression" dxfId="37" priority="33" stopIfTrue="1">
      <formula>AND($A159&lt;&gt;"COMPOSICAO",$A159&lt;&gt;"INSUMO",$A159&lt;&gt;"")</formula>
    </cfRule>
    <cfRule type="expression" dxfId="36" priority="34" stopIfTrue="1">
      <formula>AND(OR($A159="COMPOSICAO",$A159="INSUMO",$A159&lt;&gt;""),$A159&lt;&gt;"")</formula>
    </cfRule>
  </conditionalFormatting>
  <conditionalFormatting sqref="C154">
    <cfRule type="expression" dxfId="35" priority="31" stopIfTrue="1">
      <formula>AND($A154&lt;&gt;"COMPOSICAO",$A154&lt;&gt;"INSUMO",$A154&lt;&gt;"")</formula>
    </cfRule>
    <cfRule type="expression" dxfId="34" priority="32" stopIfTrue="1">
      <formula>AND(OR($A154="COMPOSICAO",$A154="INSUMO",$A154&lt;&gt;""),$A154&lt;&gt;"")</formula>
    </cfRule>
  </conditionalFormatting>
  <conditionalFormatting sqref="D154">
    <cfRule type="expression" dxfId="33" priority="29" stopIfTrue="1">
      <formula>AND($A154&lt;&gt;"COMPOSICAO",$A154&lt;&gt;"INSUMO",$A154&lt;&gt;"")</formula>
    </cfRule>
    <cfRule type="expression" dxfId="32" priority="30" stopIfTrue="1">
      <formula>AND(OR($A154="COMPOSICAO",$A154="INSUMO",$A154&lt;&gt;""),$A154&lt;&gt;"")</formula>
    </cfRule>
  </conditionalFormatting>
  <conditionalFormatting sqref="A152">
    <cfRule type="expression" dxfId="31" priority="27" stopIfTrue="1">
      <formula>AND($B152&lt;&gt;"COMPOSICAO",$B152&lt;&gt;"INSUMO",$B152&lt;&gt;"")</formula>
    </cfRule>
    <cfRule type="expression" dxfId="30" priority="28" stopIfTrue="1">
      <formula>AND(OR($B152="COMPOSICAO",$B152="INSUMO",$B152&lt;&gt;""),$B152&lt;&gt;"")</formula>
    </cfRule>
  </conditionalFormatting>
  <conditionalFormatting sqref="A157">
    <cfRule type="expression" dxfId="29" priority="25" stopIfTrue="1">
      <formula>AND($B157&lt;&gt;"COMPOSICAO",$B157&lt;&gt;"INSUMO",$B157&lt;&gt;"")</formula>
    </cfRule>
    <cfRule type="expression" dxfId="28" priority="26" stopIfTrue="1">
      <formula>AND(OR($B157="COMPOSICAO",$B157="INSUMO",$B157&lt;&gt;""),$B157&lt;&gt;"")</formula>
    </cfRule>
  </conditionalFormatting>
  <conditionalFormatting sqref="D152">
    <cfRule type="expression" dxfId="27" priority="23" stopIfTrue="1">
      <formula>AND($B152&lt;&gt;"COMPOSICAO",$B152&lt;&gt;"INSUMO",$B152&lt;&gt;"")</formula>
    </cfRule>
    <cfRule type="expression" dxfId="26" priority="24" stopIfTrue="1">
      <formula>AND(OR($B152="COMPOSICAO",$B152="INSUMO",$B152&lt;&gt;""),$B152&lt;&gt;"")</formula>
    </cfRule>
  </conditionalFormatting>
  <conditionalFormatting sqref="B163:J163">
    <cfRule type="expression" dxfId="25" priority="21" stopIfTrue="1">
      <formula>AND($B163&lt;&gt;"COMPOSICAO",$B163&lt;&gt;"INSUMO",$B163&lt;&gt;"")</formula>
    </cfRule>
    <cfRule type="expression" dxfId="24" priority="22" stopIfTrue="1">
      <formula>AND(OR($B163="COMPOSICAO",$B163="INSUMO",$B163&lt;&gt;""),$B163&lt;&gt;"")</formula>
    </cfRule>
  </conditionalFormatting>
  <conditionalFormatting sqref="B165:F166">
    <cfRule type="expression" dxfId="23" priority="19" stopIfTrue="1">
      <formula>AND($A165&lt;&gt;"COMPOSICAO",$A165&lt;&gt;"INSUMO",$A165&lt;&gt;"")</formula>
    </cfRule>
    <cfRule type="expression" dxfId="22" priority="20" stopIfTrue="1">
      <formula>AND(OR($A165="COMPOSICAO",$A165="INSUMO",$A165&lt;&gt;""),$A165&lt;&gt;"")</formula>
    </cfRule>
  </conditionalFormatting>
  <conditionalFormatting sqref="A163">
    <cfRule type="expression" dxfId="21" priority="17" stopIfTrue="1">
      <formula>AND($B163&lt;&gt;"COMPOSICAO",$B163&lt;&gt;"INSUMO",$B163&lt;&gt;"")</formula>
    </cfRule>
    <cfRule type="expression" dxfId="20" priority="18" stopIfTrue="1">
      <formula>AND(OR($B163="COMPOSICAO",$B163="INSUMO",$B163&lt;&gt;""),$B163&lt;&gt;"")</formula>
    </cfRule>
  </conditionalFormatting>
  <conditionalFormatting sqref="B168:C168 E168:J168">
    <cfRule type="expression" dxfId="19" priority="15" stopIfTrue="1">
      <formula>AND($B168&lt;&gt;"COMPOSICAO",$B168&lt;&gt;"INSUMO",$B168&lt;&gt;"")</formula>
    </cfRule>
    <cfRule type="expression" dxfId="18" priority="16" stopIfTrue="1">
      <formula>AND(OR($B168="COMPOSICAO",$B168="INSUMO",$B168&lt;&gt;""),$B168&lt;&gt;"")</formula>
    </cfRule>
  </conditionalFormatting>
  <conditionalFormatting sqref="A168">
    <cfRule type="expression" dxfId="17" priority="13" stopIfTrue="1">
      <formula>AND($B168&lt;&gt;"COMPOSICAO",$B168&lt;&gt;"INSUMO",$B168&lt;&gt;"")</formula>
    </cfRule>
    <cfRule type="expression" dxfId="16" priority="14" stopIfTrue="1">
      <formula>AND(OR($B168="COMPOSICAO",$B168="INSUMO",$B168&lt;&gt;""),$B168&lt;&gt;"")</formula>
    </cfRule>
  </conditionalFormatting>
  <conditionalFormatting sqref="D168">
    <cfRule type="expression" dxfId="15" priority="11" stopIfTrue="1">
      <formula>AND($B168&lt;&gt;"COMPOSICAO",$B168&lt;&gt;"INSUMO",$B168&lt;&gt;"")</formula>
    </cfRule>
    <cfRule type="expression" dxfId="14" priority="12" stopIfTrue="1">
      <formula>AND(OR($B168="COMPOSICAO",$B168="INSUMO",$B168&lt;&gt;""),$B168&lt;&gt;"")</formula>
    </cfRule>
  </conditionalFormatting>
  <conditionalFormatting sqref="J13">
    <cfRule type="expression" dxfId="13" priority="9" stopIfTrue="1">
      <formula>AND($B13&lt;&gt;"COMPOSICAO",$B13&lt;&gt;"INSUMO",$B13&lt;&gt;"")</formula>
    </cfRule>
    <cfRule type="expression" dxfId="12" priority="10" stopIfTrue="1">
      <formula>AND(OR($B13="COMPOSICAO",$B13="INSUMO",$B13&lt;&gt;""),$B13&lt;&gt;"")</formula>
    </cfRule>
  </conditionalFormatting>
  <conditionalFormatting sqref="H23 J23">
    <cfRule type="expression" dxfId="11" priority="7" stopIfTrue="1">
      <formula>AND($B23&lt;&gt;"COMPOSICAO",$B23&lt;&gt;"INSUMO",$B23&lt;&gt;"")</formula>
    </cfRule>
    <cfRule type="expression" dxfId="10" priority="8" stopIfTrue="1">
      <formula>AND(OR($B23="COMPOSICAO",$B23="INSUMO",$B23&lt;&gt;""),$B23&lt;&gt;"")</formula>
    </cfRule>
  </conditionalFormatting>
  <conditionalFormatting sqref="G23">
    <cfRule type="expression" dxfId="9" priority="5" stopIfTrue="1">
      <formula>AND($B23&lt;&gt;"COMPOSICAO",$B23&lt;&gt;"INSUMO",$B23&lt;&gt;"")</formula>
    </cfRule>
    <cfRule type="expression" dxfId="8" priority="6" stopIfTrue="1">
      <formula>AND(OR($B23="COMPOSICAO",$B23="INSUMO",$B23&lt;&gt;""),$B23&lt;&gt;"")</formula>
    </cfRule>
  </conditionalFormatting>
  <conditionalFormatting sqref="C174:F174">
    <cfRule type="expression" dxfId="7" priority="1" stopIfTrue="1">
      <formula>AND($B174&lt;&gt;"COMPOSICAO",$B174&lt;&gt;"INSUMO",$B174&lt;&gt;"")</formula>
    </cfRule>
    <cfRule type="expression" dxfId="6" priority="2" stopIfTrue="1">
      <formula>AND(OR($B174="COMPOSICAO",$B174="INSUMO",$B174&lt;&gt;""),$B174&lt;&gt;"")</formula>
    </cfRule>
  </conditionalFormatting>
  <conditionalFormatting sqref="G174:J174">
    <cfRule type="expression" dxfId="5" priority="3" stopIfTrue="1">
      <formula>AND($B174&lt;&gt;"COMPOSICAO",$B174&lt;&gt;"INSUMO",$B174&lt;&gt;"")</formula>
    </cfRule>
    <cfRule type="expression" dxfId="4" priority="4" stopIfTrue="1">
      <formula>AND(OR($B174="COMPOSICAO",$B174="INSUMO",$B174&lt;&gt;""),$B174&lt;&gt;"")</formula>
    </cfRule>
  </conditionalFormatting>
  <printOptions gridLines="1"/>
  <pageMargins left="0.25" right="0.25" top="0.75" bottom="0.75" header="0.3" footer="0.3"/>
  <pageSetup paperSize="9" scale="87" fitToHeight="0" orientation="landscape" r:id="rId1"/>
  <headerFooter>
    <oddFooter>&amp;RPágina &amp;P de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A7B45C-C316-4FDE-BC9E-99D354933D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J50</xm:sqref>
        </x14:conditionalFormatting>
        <x14:conditionalFormatting xmlns:xm="http://schemas.microsoft.com/office/excel/2006/main">
          <x14:cfRule type="dataBar" id="{CED4A56D-6A25-4390-A51B-68A7555EAC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J99</xm:sqref>
        </x14:conditionalFormatting>
        <x14:conditionalFormatting xmlns:xm="http://schemas.microsoft.com/office/excel/2006/main">
          <x14:cfRule type="dataBar" id="{674E66F4-F765-4508-ABAF-FAE3947A12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J97</xm:sqref>
        </x14:conditionalFormatting>
        <x14:conditionalFormatting xmlns:xm="http://schemas.microsoft.com/office/excel/2006/main">
          <x14:cfRule type="dataBar" id="{2C2E74B0-CA16-4B22-B352-05315F9350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J98</xm:sqref>
        </x14:conditionalFormatting>
        <x14:conditionalFormatting xmlns:xm="http://schemas.microsoft.com/office/excel/2006/main">
          <x14:cfRule type="dataBar" id="{266D55BA-77AB-4797-B732-0DEC7D04DC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J116</xm:sqref>
        </x14:conditionalFormatting>
        <x14:conditionalFormatting xmlns:xm="http://schemas.microsoft.com/office/excel/2006/main">
          <x14:cfRule type="dataBar" id="{A20819CB-0E49-4612-82B8-2AEADDB40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J68</xm:sqref>
        </x14:conditionalFormatting>
        <x14:conditionalFormatting xmlns:xm="http://schemas.microsoft.com/office/excel/2006/main">
          <x14:cfRule type="dataBar" id="{938C2700-273F-449E-AEFC-46247F093B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J69</xm:sqref>
        </x14:conditionalFormatting>
        <x14:conditionalFormatting xmlns:xm="http://schemas.microsoft.com/office/excel/2006/main">
          <x14:cfRule type="dataBar" id="{B42AEAC3-38DA-41DA-A7F0-989C6E8805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J64</xm:sqref>
        </x14:conditionalFormatting>
        <x14:conditionalFormatting xmlns:xm="http://schemas.microsoft.com/office/excel/2006/main">
          <x14:cfRule type="dataBar" id="{0A0C8F00-51DC-4EB6-B2E2-2A81E33C78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J51:J52</xm:sqref>
        </x14:conditionalFormatting>
        <x14:conditionalFormatting xmlns:xm="http://schemas.microsoft.com/office/excel/2006/main">
          <x14:cfRule type="dataBar" id="{E2E7AB35-E733-46C6-A716-8F4A0D6EA1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J56 J58</xm:sqref>
        </x14:conditionalFormatting>
        <x14:conditionalFormatting xmlns:xm="http://schemas.microsoft.com/office/excel/2006/main">
          <x14:cfRule type="dataBar" id="{CDA2696A-A597-4E17-8ED1-CF9E1996A7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J62</xm:sqref>
        </x14:conditionalFormatting>
        <x14:conditionalFormatting xmlns:xm="http://schemas.microsoft.com/office/excel/2006/main">
          <x14:cfRule type="dataBar" id="{83571884-D245-4904-AF94-66E9099FA9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J63</xm:sqref>
        </x14:conditionalFormatting>
        <x14:conditionalFormatting xmlns:xm="http://schemas.microsoft.com/office/excel/2006/main">
          <x14:cfRule type="dataBar" id="{D034789A-8A94-40B9-8200-156024A63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316"/>
  <sheetViews>
    <sheetView workbookViewId="0">
      <selection activeCell="A4" sqref="A4"/>
    </sheetView>
  </sheetViews>
  <sheetFormatPr defaultColWidth="9.140625" defaultRowHeight="13.5"/>
  <cols>
    <col min="1" max="1" width="2.28515625" style="134" customWidth="1"/>
    <col min="2" max="2" width="35.85546875" style="134" customWidth="1"/>
    <col min="3" max="6" width="14.7109375" style="134" customWidth="1"/>
    <col min="7" max="7" width="2.28515625" style="134" customWidth="1"/>
    <col min="8" max="8" width="15.28515625" style="134" customWidth="1"/>
    <col min="9" max="9" width="18.140625" style="134" bestFit="1" customWidth="1"/>
    <col min="10" max="10" width="5.140625" style="134" customWidth="1"/>
    <col min="11" max="12" width="9.140625" style="134"/>
    <col min="13" max="13" width="18.7109375" style="134" customWidth="1"/>
    <col min="14" max="14" width="0" style="134" hidden="1" customWidth="1"/>
    <col min="15" max="15" width="15.42578125" style="134" hidden="1" customWidth="1"/>
    <col min="16" max="16" width="41.7109375" style="134" hidden="1" customWidth="1"/>
    <col min="17" max="17" width="18.85546875" style="134" hidden="1" customWidth="1"/>
    <col min="18" max="24" width="11.7109375" style="134" hidden="1" customWidth="1"/>
    <col min="25" max="37" width="0" style="134" hidden="1" customWidth="1"/>
    <col min="38" max="38" width="13.85546875" style="134" hidden="1" customWidth="1"/>
    <col min="39" max="39" width="38.7109375" style="134" hidden="1" customWidth="1"/>
    <col min="40" max="40" width="11.85546875" style="134" hidden="1" customWidth="1"/>
    <col min="41" max="41" width="8.7109375" style="134" hidden="1" customWidth="1"/>
    <col min="42" max="42" width="11.85546875" style="134" hidden="1" customWidth="1"/>
    <col min="43" max="43" width="9.28515625" style="134" hidden="1" customWidth="1"/>
    <col min="44" max="44" width="11.85546875" style="134" hidden="1" customWidth="1"/>
    <col min="45" max="45" width="1" style="134" hidden="1" customWidth="1"/>
    <col min="46" max="46" width="9.140625" style="134"/>
    <col min="47" max="47" width="13.28515625" style="134" bestFit="1" customWidth="1"/>
    <col min="48" max="71" width="9.140625" style="134"/>
    <col min="72" max="72" width="22.7109375" style="134" bestFit="1" customWidth="1"/>
    <col min="73" max="73" width="29" style="134" customWidth="1"/>
    <col min="74" max="74" width="9.5703125" style="134" customWidth="1"/>
    <col min="75" max="75" width="11.5703125" style="134" customWidth="1"/>
    <col min="76" max="76" width="10.7109375" style="134" customWidth="1"/>
    <col min="77" max="77" width="9.140625" style="134"/>
    <col min="78" max="81" width="2.42578125" style="134" customWidth="1"/>
    <col min="82" max="82" width="4.85546875" style="134" bestFit="1" customWidth="1"/>
    <col min="83" max="83" width="29.42578125" style="134" bestFit="1" customWidth="1"/>
    <col min="84" max="84" width="17" style="134" bestFit="1" customWidth="1"/>
    <col min="85" max="85" width="14.42578125" style="134" bestFit="1" customWidth="1"/>
    <col min="86" max="86" width="17" style="134" bestFit="1" customWidth="1"/>
    <col min="87" max="87" width="8.85546875" style="134" customWidth="1"/>
    <col min="88" max="97" width="2.42578125" style="134" customWidth="1"/>
    <col min="98" max="16384" width="9.140625" style="134"/>
  </cols>
  <sheetData>
    <row r="1" spans="1:11" ht="13.15" customHeight="1">
      <c r="A1" s="131" t="str">
        <f>COMPOSIÇÃO!A1</f>
        <v>OBRA: IMPLANTAÇÃO, MELHORIA E MODERNIZAÇÃO DO SISTEMA DE ILUMINAÇÃO PÚBLICA COM LUMINÁRIAS LED</v>
      </c>
      <c r="B1" s="132"/>
      <c r="C1" s="132"/>
      <c r="D1" s="132"/>
      <c r="E1" s="132"/>
      <c r="F1" s="132"/>
      <c r="G1" s="133"/>
    </row>
    <row r="2" spans="1:11" ht="13.15" customHeight="1">
      <c r="A2" s="131" t="str">
        <f>COMPOSIÇÃO!A2</f>
        <v>LOCAL: AV PEDRO BALDUINO</v>
      </c>
      <c r="B2" s="135"/>
      <c r="C2" s="135"/>
      <c r="D2" s="135"/>
      <c r="E2" s="135"/>
      <c r="F2" s="135"/>
      <c r="G2" s="136"/>
    </row>
    <row r="3" spans="1:11" ht="13.15" customHeight="1">
      <c r="A3" s="131" t="str">
        <f>COMPOSIÇÃO!A3</f>
        <v>CIDADE : MUNICÍPIO SEDE DE CORGUINHO - MS</v>
      </c>
      <c r="B3" s="137"/>
      <c r="C3" s="137"/>
      <c r="D3" s="137"/>
      <c r="E3" s="137"/>
      <c r="F3" s="137"/>
      <c r="G3" s="138"/>
    </row>
    <row r="4" spans="1:11" ht="14.25" thickBot="1">
      <c r="A4" s="139"/>
      <c r="B4" s="140"/>
      <c r="C4" s="140"/>
      <c r="D4" s="140"/>
      <c r="E4" s="140"/>
      <c r="F4" s="140"/>
      <c r="G4" s="141"/>
    </row>
    <row r="5" spans="1:11" ht="15" customHeight="1" thickTop="1" thickBot="1">
      <c r="A5" s="142"/>
      <c r="B5" s="425" t="s">
        <v>213</v>
      </c>
      <c r="C5" s="425"/>
      <c r="D5" s="425"/>
      <c r="E5" s="425"/>
      <c r="F5" s="425"/>
      <c r="G5" s="143"/>
    </row>
    <row r="6" spans="1:11" s="147" customFormat="1" ht="16.5" thickTop="1" thickBot="1">
      <c r="A6" s="144"/>
      <c r="B6" s="145"/>
      <c r="C6" s="145"/>
      <c r="D6" s="145"/>
      <c r="E6" s="145"/>
      <c r="F6" s="145"/>
      <c r="G6" s="146"/>
      <c r="H6" s="134"/>
      <c r="I6" s="134"/>
      <c r="J6" s="134"/>
    </row>
    <row r="7" spans="1:11" s="147" customFormat="1" ht="15">
      <c r="A7" s="148"/>
      <c r="B7" s="149"/>
      <c r="C7" s="149"/>
      <c r="D7" s="149"/>
      <c r="E7" s="149"/>
      <c r="F7" s="149"/>
      <c r="G7" s="150"/>
      <c r="H7" s="134"/>
      <c r="I7" s="134"/>
      <c r="J7" s="134"/>
    </row>
    <row r="8" spans="1:11" ht="13.15" customHeight="1">
      <c r="A8" s="144"/>
      <c r="B8" s="426" t="s">
        <v>214</v>
      </c>
      <c r="C8" s="426"/>
      <c r="D8" s="426"/>
      <c r="E8" s="426"/>
      <c r="F8" s="426"/>
      <c r="G8" s="146"/>
    </row>
    <row r="9" spans="1:11">
      <c r="A9" s="144"/>
      <c r="B9" s="151"/>
      <c r="C9" s="151"/>
      <c r="D9" s="151"/>
      <c r="E9" s="151"/>
      <c r="F9" s="151"/>
      <c r="G9" s="146"/>
    </row>
    <row r="10" spans="1:11" ht="27" customHeight="1">
      <c r="A10" s="144"/>
      <c r="B10" s="152" t="s">
        <v>215</v>
      </c>
      <c r="C10" s="427" t="s">
        <v>70</v>
      </c>
      <c r="D10" s="428"/>
      <c r="E10" s="428"/>
      <c r="F10" s="429"/>
      <c r="G10" s="146"/>
    </row>
    <row r="11" spans="1:11">
      <c r="A11" s="144"/>
      <c r="B11" s="151"/>
      <c r="C11" s="153"/>
      <c r="D11" s="153"/>
      <c r="E11" s="153"/>
      <c r="F11" s="153"/>
      <c r="G11" s="146"/>
      <c r="H11" s="147"/>
    </row>
    <row r="12" spans="1:11">
      <c r="A12" s="144"/>
      <c r="B12" s="152" t="s">
        <v>216</v>
      </c>
      <c r="C12" s="153"/>
      <c r="D12" s="153"/>
      <c r="E12" s="153"/>
      <c r="F12" s="154" t="s">
        <v>217</v>
      </c>
      <c r="G12" s="146"/>
      <c r="H12" s="147"/>
      <c r="K12" s="155" t="str">
        <f>IF(F12="","PREENCHER SE A OBRA POSSUI FOLHA DE PAGAMENTO DESONERADA","")</f>
        <v/>
      </c>
    </row>
    <row r="13" spans="1:11" ht="14.25">
      <c r="A13" s="144"/>
      <c r="B13" s="156" t="s">
        <v>218</v>
      </c>
      <c r="C13" s="153"/>
      <c r="D13" s="153"/>
      <c r="E13" s="153"/>
      <c r="F13" s="153"/>
      <c r="G13" s="146"/>
      <c r="H13" s="147"/>
    </row>
    <row r="14" spans="1:11">
      <c r="A14" s="144"/>
      <c r="B14" s="151"/>
      <c r="C14" s="151"/>
      <c r="D14" s="151"/>
      <c r="E14" s="157"/>
      <c r="F14" s="151"/>
      <c r="G14" s="146"/>
      <c r="H14" s="147"/>
    </row>
    <row r="15" spans="1:11">
      <c r="A15" s="144"/>
      <c r="B15" s="151" t="s">
        <v>219</v>
      </c>
      <c r="C15" s="151"/>
      <c r="D15" s="151"/>
      <c r="E15" s="157"/>
      <c r="F15" s="151"/>
      <c r="G15" s="146"/>
      <c r="H15" s="147"/>
    </row>
    <row r="16" spans="1:11" ht="108" customHeight="1">
      <c r="A16" s="144"/>
      <c r="B16" s="430" t="str">
        <f>IF(C10="","",VLOOKUP(BU299,BV261:BW266,2,0))</f>
        <v>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v>
      </c>
      <c r="C16" s="431"/>
      <c r="D16" s="431"/>
      <c r="E16" s="431"/>
      <c r="F16" s="432"/>
      <c r="G16" s="146"/>
      <c r="H16" s="147"/>
    </row>
    <row r="17" spans="1:48">
      <c r="A17" s="144"/>
      <c r="B17" s="151"/>
      <c r="C17" s="151"/>
      <c r="D17" s="151"/>
      <c r="E17" s="157"/>
      <c r="F17" s="151"/>
      <c r="G17" s="146"/>
      <c r="H17" s="147"/>
    </row>
    <row r="18" spans="1:48">
      <c r="A18" s="144"/>
      <c r="B18" s="151" t="s">
        <v>220</v>
      </c>
      <c r="C18" s="151"/>
      <c r="D18" s="151"/>
      <c r="E18" s="157"/>
      <c r="F18" s="151"/>
      <c r="G18" s="146"/>
      <c r="H18" s="147"/>
    </row>
    <row r="19" spans="1:48" ht="5.45" customHeight="1">
      <c r="A19" s="144"/>
      <c r="B19" s="151"/>
      <c r="C19" s="151"/>
      <c r="D19" s="151"/>
      <c r="E19" s="157"/>
      <c r="F19" s="151"/>
      <c r="G19" s="146"/>
      <c r="H19" s="147"/>
    </row>
    <row r="20" spans="1:48">
      <c r="A20" s="144"/>
      <c r="B20" s="151" t="s">
        <v>221</v>
      </c>
      <c r="C20" s="151"/>
      <c r="D20" s="433">
        <v>3.6499999999999998E-2</v>
      </c>
      <c r="E20" s="433"/>
      <c r="F20" s="433"/>
      <c r="G20" s="146"/>
      <c r="H20" s="147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4"/>
      <c r="AD20" s="424"/>
      <c r="AE20" s="424"/>
      <c r="AF20" s="424"/>
      <c r="AG20" s="424"/>
      <c r="AH20" s="424"/>
      <c r="AI20" s="424"/>
      <c r="AJ20" s="424"/>
      <c r="AK20" s="424"/>
      <c r="AL20" s="424"/>
      <c r="AM20" s="424"/>
      <c r="AN20" s="424"/>
      <c r="AO20" s="424"/>
      <c r="AP20" s="424"/>
      <c r="AQ20" s="424"/>
      <c r="AR20" s="424"/>
      <c r="AS20" s="424"/>
      <c r="AT20" s="424"/>
      <c r="AU20" s="424"/>
      <c r="AV20" s="424"/>
    </row>
    <row r="21" spans="1:48" ht="6.6" customHeight="1">
      <c r="A21" s="144"/>
      <c r="B21" s="151"/>
      <c r="C21" s="151"/>
      <c r="D21" s="151"/>
      <c r="E21" s="158"/>
      <c r="F21" s="158"/>
      <c r="G21" s="146"/>
      <c r="H21" s="147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24"/>
      <c r="AB21" s="424"/>
      <c r="AC21" s="424"/>
      <c r="AD21" s="424"/>
      <c r="AE21" s="424"/>
      <c r="AF21" s="424"/>
      <c r="AG21" s="424"/>
      <c r="AH21" s="424"/>
      <c r="AI21" s="424"/>
      <c r="AJ21" s="424"/>
      <c r="AK21" s="424"/>
      <c r="AL21" s="424"/>
      <c r="AM21" s="424"/>
      <c r="AN21" s="424"/>
      <c r="AO21" s="424"/>
      <c r="AP21" s="424"/>
      <c r="AQ21" s="424"/>
      <c r="AR21" s="424"/>
      <c r="AS21" s="424"/>
      <c r="AT21" s="424"/>
      <c r="AU21" s="424"/>
      <c r="AV21" s="424"/>
    </row>
    <row r="22" spans="1:48" ht="24.75" customHeight="1">
      <c r="A22" s="144"/>
      <c r="B22" s="151" t="s">
        <v>222</v>
      </c>
      <c r="C22" s="151"/>
      <c r="D22" s="434" t="s">
        <v>223</v>
      </c>
      <c r="E22" s="434"/>
      <c r="F22" s="434"/>
      <c r="G22" s="146"/>
      <c r="H22" s="147"/>
      <c r="K22" s="159"/>
    </row>
    <row r="23" spans="1:48">
      <c r="A23" s="144"/>
      <c r="B23" s="160">
        <v>0.05</v>
      </c>
      <c r="C23" s="161"/>
      <c r="D23" s="433">
        <v>0.6</v>
      </c>
      <c r="E23" s="433"/>
      <c r="F23" s="433"/>
      <c r="G23" s="146"/>
      <c r="H23" s="147"/>
      <c r="K23" s="159"/>
    </row>
    <row r="24" spans="1:48">
      <c r="A24" s="144"/>
      <c r="B24" s="153"/>
      <c r="C24" s="151"/>
      <c r="D24" s="151"/>
      <c r="E24" s="151"/>
      <c r="F24" s="151"/>
      <c r="G24" s="146"/>
      <c r="H24" s="147"/>
      <c r="K24" s="159"/>
    </row>
    <row r="25" spans="1:48">
      <c r="A25" s="144"/>
      <c r="B25" s="151" t="s">
        <v>224</v>
      </c>
      <c r="C25" s="162">
        <f>+B23*D23</f>
        <v>0.03</v>
      </c>
      <c r="D25" s="163"/>
      <c r="E25" s="164"/>
      <c r="F25" s="153"/>
      <c r="G25" s="146"/>
      <c r="H25" s="147"/>
      <c r="K25" s="159"/>
    </row>
    <row r="26" spans="1:48">
      <c r="A26" s="144"/>
      <c r="B26" s="153"/>
      <c r="C26" s="162"/>
      <c r="D26" s="153"/>
      <c r="E26" s="153"/>
      <c r="F26" s="153"/>
      <c r="G26" s="146"/>
      <c r="H26" s="147"/>
      <c r="K26" s="159"/>
    </row>
    <row r="27" spans="1:48" ht="15.75">
      <c r="A27" s="144"/>
      <c r="B27" s="153"/>
      <c r="C27" s="153"/>
      <c r="D27" s="410" t="s">
        <v>225</v>
      </c>
      <c r="E27" s="410"/>
      <c r="F27" s="165">
        <f>D20+C25</f>
        <v>6.6500000000000004E-2</v>
      </c>
      <c r="G27" s="146"/>
      <c r="H27" s="147"/>
      <c r="K27" s="159"/>
    </row>
    <row r="28" spans="1:48">
      <c r="A28" s="144"/>
      <c r="B28" s="153"/>
      <c r="C28" s="162"/>
      <c r="D28" s="153"/>
      <c r="E28" s="153"/>
      <c r="F28" s="153"/>
      <c r="G28" s="146"/>
      <c r="H28" s="147"/>
      <c r="K28" s="159"/>
    </row>
    <row r="29" spans="1:48">
      <c r="A29" s="144"/>
      <c r="B29" s="435" t="s">
        <v>226</v>
      </c>
      <c r="C29" s="435"/>
      <c r="D29" s="435"/>
      <c r="E29" s="435"/>
      <c r="F29" s="435"/>
      <c r="G29" s="146"/>
      <c r="H29" s="147"/>
      <c r="K29" s="159"/>
      <c r="M29" s="166"/>
    </row>
    <row r="30" spans="1:48" ht="14.25" thickBot="1">
      <c r="A30" s="167"/>
      <c r="B30" s="436"/>
      <c r="C30" s="436"/>
      <c r="D30" s="436"/>
      <c r="E30" s="436"/>
      <c r="F30" s="436"/>
      <c r="G30" s="168"/>
      <c r="H30" s="147"/>
      <c r="K30" s="159"/>
    </row>
    <row r="31" spans="1:48" ht="14.25" hidden="1" thickBot="1">
      <c r="A31" s="144"/>
      <c r="B31" s="153"/>
      <c r="C31" s="153"/>
      <c r="D31" s="153"/>
      <c r="E31" s="153"/>
      <c r="F31" s="153"/>
      <c r="G31" s="146"/>
      <c r="K31" s="159"/>
    </row>
    <row r="32" spans="1:48">
      <c r="A32" s="148"/>
      <c r="B32" s="169"/>
      <c r="C32" s="169"/>
      <c r="D32" s="169"/>
      <c r="E32" s="169"/>
      <c r="F32" s="169"/>
      <c r="G32" s="150"/>
      <c r="K32" s="159"/>
    </row>
    <row r="33" spans="1:11">
      <c r="A33" s="144"/>
      <c r="B33" s="410" t="s">
        <v>227</v>
      </c>
      <c r="C33" s="410"/>
      <c r="D33" s="410"/>
      <c r="E33" s="410"/>
      <c r="F33" s="410"/>
      <c r="G33" s="146"/>
      <c r="H33" s="147"/>
      <c r="K33" s="159"/>
    </row>
    <row r="34" spans="1:11">
      <c r="A34" s="144"/>
      <c r="B34" s="410"/>
      <c r="C34" s="410"/>
      <c r="D34" s="410"/>
      <c r="E34" s="410"/>
      <c r="F34" s="410"/>
      <c r="G34" s="146"/>
      <c r="H34" s="147"/>
      <c r="K34" s="159"/>
    </row>
    <row r="35" spans="1:11">
      <c r="A35" s="144"/>
      <c r="B35" s="170" t="s">
        <v>228</v>
      </c>
      <c r="C35" s="170" t="s">
        <v>229</v>
      </c>
      <c r="D35" s="170" t="s">
        <v>230</v>
      </c>
      <c r="E35" s="170" t="s">
        <v>231</v>
      </c>
      <c r="F35" s="170" t="s">
        <v>232</v>
      </c>
      <c r="G35" s="146"/>
      <c r="H35" s="147"/>
      <c r="I35" s="171" t="s">
        <v>233</v>
      </c>
      <c r="K35" s="159"/>
    </row>
    <row r="36" spans="1:11">
      <c r="A36" s="144"/>
      <c r="B36" s="172" t="s">
        <v>71</v>
      </c>
      <c r="C36" s="173">
        <f t="shared" ref="C36:E40" si="0">BV300</f>
        <v>5.2900000000000003E-2</v>
      </c>
      <c r="D36" s="173">
        <f>BW300</f>
        <v>5.9200000000000003E-2</v>
      </c>
      <c r="E36" s="173">
        <f>BX300</f>
        <v>7.9299999999999995E-2</v>
      </c>
      <c r="F36" s="174">
        <v>5.9200000000000003E-2</v>
      </c>
      <c r="G36" s="175"/>
      <c r="H36" s="176"/>
      <c r="I36" s="177">
        <f>TRUNC(F36,4)</f>
        <v>5.9200000000000003E-2</v>
      </c>
      <c r="K36" s="155" t="str">
        <f>IF(F36&lt;&gt;"",IF(OR(F36&gt;E36,F36&lt;C36),"CORRIGIR % ADOTADO",""),"")</f>
        <v/>
      </c>
    </row>
    <row r="37" spans="1:11">
      <c r="A37" s="144"/>
      <c r="B37" s="172" t="s">
        <v>234</v>
      </c>
      <c r="C37" s="173">
        <f t="shared" si="0"/>
        <v>2.5000000000000001E-3</v>
      </c>
      <c r="D37" s="173">
        <f t="shared" si="0"/>
        <v>5.1000000000000004E-3</v>
      </c>
      <c r="E37" s="173">
        <f t="shared" si="0"/>
        <v>5.5999999999999999E-3</v>
      </c>
      <c r="F37" s="178">
        <v>5.1000000000000004E-3</v>
      </c>
      <c r="G37" s="175"/>
      <c r="H37" s="176"/>
      <c r="I37" s="177">
        <f>TRUNC(F37,4)</f>
        <v>5.1000000000000004E-3</v>
      </c>
      <c r="K37" s="155" t="str">
        <f>IF(F37&lt;&gt;"",IF(OR(F37&gt;E37,F37&lt;C37),"CORRIGIR % ADOTADO",""),"")</f>
        <v/>
      </c>
    </row>
    <row r="38" spans="1:11">
      <c r="A38" s="144"/>
      <c r="B38" s="172" t="s">
        <v>235</v>
      </c>
      <c r="C38" s="173">
        <f t="shared" si="0"/>
        <v>0.01</v>
      </c>
      <c r="D38" s="173">
        <f t="shared" si="0"/>
        <v>1.4800000000000001E-2</v>
      </c>
      <c r="E38" s="173">
        <f t="shared" si="0"/>
        <v>1.9699999999999999E-2</v>
      </c>
      <c r="F38" s="178">
        <v>1.4800000000000001E-2</v>
      </c>
      <c r="G38" s="175"/>
      <c r="H38" s="176"/>
      <c r="I38" s="177">
        <f>TRUNC(F38,4)</f>
        <v>1.4800000000000001E-2</v>
      </c>
      <c r="K38" s="155" t="str">
        <f>IF(F38&lt;&gt;"",IF(OR(F38&gt;E38,F38&lt;C38),"CORRIGIR % ADOTADO",""),"")</f>
        <v/>
      </c>
    </row>
    <row r="39" spans="1:11">
      <c r="A39" s="144"/>
      <c r="B39" s="172" t="s">
        <v>72</v>
      </c>
      <c r="C39" s="173">
        <f t="shared" si="0"/>
        <v>1.01E-2</v>
      </c>
      <c r="D39" s="173">
        <f t="shared" si="0"/>
        <v>1.0699999999999999E-2</v>
      </c>
      <c r="E39" s="173">
        <f t="shared" si="0"/>
        <v>1.11E-2</v>
      </c>
      <c r="F39" s="178">
        <v>1.0500000000000001E-2</v>
      </c>
      <c r="G39" s="175"/>
      <c r="H39" s="176"/>
      <c r="I39" s="177">
        <f>TRUNC(F39,4)</f>
        <v>1.0500000000000001E-2</v>
      </c>
      <c r="K39" s="155" t="str">
        <f>IF(F39&lt;&gt;"",IF(OR(F39&gt;E39,F39&lt;C39),"CORRIGIR % ADOTADO",""),"")</f>
        <v/>
      </c>
    </row>
    <row r="40" spans="1:11">
      <c r="A40" s="144"/>
      <c r="B40" s="172" t="s">
        <v>73</v>
      </c>
      <c r="C40" s="173">
        <f t="shared" si="0"/>
        <v>0.08</v>
      </c>
      <c r="D40" s="173">
        <f t="shared" si="0"/>
        <v>8.3099999999999993E-2</v>
      </c>
      <c r="E40" s="173">
        <f t="shared" si="0"/>
        <v>9.5100000000000004E-2</v>
      </c>
      <c r="F40" s="179">
        <v>8.3299999999999999E-2</v>
      </c>
      <c r="G40" s="175"/>
      <c r="H40" s="176"/>
      <c r="I40" s="177">
        <f>TRUNC(F40,4)</f>
        <v>8.3299999999999999E-2</v>
      </c>
      <c r="K40" s="155" t="str">
        <f>IF(F40&lt;&gt;"",IF(OR(F40&gt;E40,F40&lt;C40),"CORRIGIR % ADOTADO",""),"")</f>
        <v/>
      </c>
    </row>
    <row r="41" spans="1:11">
      <c r="A41" s="144"/>
      <c r="B41" s="172"/>
      <c r="C41" s="173"/>
      <c r="D41" s="173"/>
      <c r="E41" s="173"/>
      <c r="F41" s="153"/>
      <c r="G41" s="175"/>
      <c r="H41" s="176"/>
    </row>
    <row r="42" spans="1:11">
      <c r="A42" s="144"/>
      <c r="B42" s="180" t="s">
        <v>236</v>
      </c>
      <c r="C42" s="173"/>
      <c r="D42" s="173"/>
      <c r="E42" s="173"/>
      <c r="F42" s="181">
        <f>F27</f>
        <v>6.6500000000000004E-2</v>
      </c>
      <c r="G42" s="175"/>
      <c r="H42" s="176"/>
      <c r="I42" s="182">
        <f>TRUNC(F42,5)</f>
        <v>6.6500000000000004E-2</v>
      </c>
    </row>
    <row r="43" spans="1:11">
      <c r="A43" s="144"/>
      <c r="B43" s="180"/>
      <c r="C43" s="173"/>
      <c r="D43" s="173"/>
      <c r="E43" s="173"/>
      <c r="F43" s="181"/>
      <c r="G43" s="175"/>
      <c r="H43" s="176"/>
      <c r="I43" s="182"/>
    </row>
    <row r="44" spans="1:11">
      <c r="A44" s="144"/>
      <c r="B44" s="153"/>
      <c r="C44" s="153"/>
      <c r="D44" s="153"/>
      <c r="E44" s="153"/>
      <c r="F44" s="153"/>
      <c r="G44" s="175"/>
      <c r="H44" s="176"/>
    </row>
    <row r="45" spans="1:11">
      <c r="A45" s="144"/>
      <c r="B45" s="153"/>
      <c r="C45" s="153"/>
      <c r="D45" s="153"/>
      <c r="E45" s="153"/>
      <c r="F45" s="153"/>
      <c r="G45" s="146"/>
      <c r="H45" s="176"/>
    </row>
    <row r="46" spans="1:11">
      <c r="A46" s="144"/>
      <c r="B46" s="153"/>
      <c r="C46" s="153"/>
      <c r="D46" s="153"/>
      <c r="E46" s="153"/>
      <c r="F46" s="153"/>
      <c r="G46" s="146"/>
      <c r="H46" s="147"/>
    </row>
    <row r="47" spans="1:11">
      <c r="A47" s="144"/>
      <c r="B47" s="153"/>
      <c r="C47" s="153"/>
      <c r="D47" s="153"/>
      <c r="E47" s="153"/>
      <c r="F47" s="153"/>
      <c r="G47" s="146"/>
      <c r="H47" s="147"/>
    </row>
    <row r="48" spans="1:11">
      <c r="A48" s="144"/>
      <c r="B48" s="153"/>
      <c r="C48" s="153"/>
      <c r="D48" s="153"/>
      <c r="E48" s="153"/>
      <c r="F48" s="153"/>
      <c r="G48" s="146"/>
      <c r="H48" s="147"/>
    </row>
    <row r="49" spans="1:48" ht="15.75">
      <c r="A49" s="144"/>
      <c r="B49" s="183" t="s">
        <v>237</v>
      </c>
      <c r="C49" s="153"/>
      <c r="D49" s="153"/>
      <c r="E49" s="417">
        <f>ROUND((((1+I36+I37+I38)*(1+I39)*(1+I40))/(1-I42))-1,4)</f>
        <v>0.26540000000000002</v>
      </c>
      <c r="F49" s="417"/>
      <c r="G49" s="146"/>
      <c r="H49" s="147"/>
      <c r="K49" s="184" t="str">
        <f>IF(F12="SIM","PARA SIMPLES CONFERÊNCIA","")</f>
        <v/>
      </c>
    </row>
    <row r="50" spans="1:48" ht="16.5" thickBot="1">
      <c r="A50" s="144"/>
      <c r="B50" s="183"/>
      <c r="C50" s="153"/>
      <c r="D50" s="153"/>
      <c r="E50" s="185"/>
      <c r="F50" s="185"/>
      <c r="G50" s="146"/>
      <c r="H50" s="147"/>
    </row>
    <row r="51" spans="1:48" ht="21.75" thickTop="1" thickBot="1">
      <c r="A51" s="144"/>
      <c r="B51" s="418" t="str">
        <f>IF(E49&lt;C54,"ERRO - BDI INFERIOR AO 1º QUARTIL",IF(E49&gt;E54,"ERRO - BDI SUPERIOR AO 3º QUARTIL","BDI CONFORME"))</f>
        <v>BDI CONFORME</v>
      </c>
      <c r="C51" s="419"/>
      <c r="D51" s="419"/>
      <c r="E51" s="419"/>
      <c r="F51" s="420"/>
      <c r="G51" s="146"/>
      <c r="H51" s="147"/>
    </row>
    <row r="52" spans="1:48" ht="18.75" thickTop="1">
      <c r="A52" s="144"/>
      <c r="B52" s="186"/>
      <c r="C52" s="186"/>
      <c r="D52" s="186"/>
      <c r="E52" s="186"/>
      <c r="F52" s="186"/>
      <c r="G52" s="146"/>
      <c r="H52" s="147"/>
    </row>
    <row r="53" spans="1:48">
      <c r="A53" s="144"/>
      <c r="B53" s="153"/>
      <c r="C53" s="187" t="s">
        <v>229</v>
      </c>
      <c r="D53" s="187" t="s">
        <v>230</v>
      </c>
      <c r="E53" s="187" t="s">
        <v>231</v>
      </c>
      <c r="F53" s="153"/>
      <c r="G53" s="146"/>
      <c r="H53" s="147"/>
    </row>
    <row r="54" spans="1:48">
      <c r="A54" s="144"/>
      <c r="B54" s="188" t="s">
        <v>238</v>
      </c>
      <c r="C54" s="189">
        <f>BV299</f>
        <v>0.24</v>
      </c>
      <c r="D54" s="189">
        <f>BW299</f>
        <v>0.25840000000000002</v>
      </c>
      <c r="E54" s="189">
        <f>BX299</f>
        <v>0.27860000000000001</v>
      </c>
      <c r="F54" s="153"/>
      <c r="G54" s="146"/>
      <c r="H54" s="147"/>
    </row>
    <row r="55" spans="1:48" ht="13.15" hidden="1" customHeight="1">
      <c r="A55" s="144"/>
      <c r="B55" s="188"/>
      <c r="C55" s="189"/>
      <c r="D55" s="189"/>
      <c r="E55" s="189"/>
      <c r="F55" s="153"/>
      <c r="G55" s="146"/>
      <c r="H55" s="147"/>
    </row>
    <row r="56" spans="1:48" ht="13.15" hidden="1" customHeight="1">
      <c r="A56" s="144"/>
      <c r="B56" s="410" t="s">
        <v>239</v>
      </c>
      <c r="C56" s="410"/>
      <c r="D56" s="410"/>
      <c r="E56" s="410"/>
      <c r="F56" s="410"/>
      <c r="G56" s="146"/>
      <c r="H56" s="147"/>
    </row>
    <row r="57" spans="1:48" ht="13.9" hidden="1" customHeight="1">
      <c r="A57" s="144"/>
      <c r="B57" s="190"/>
      <c r="C57" s="190"/>
      <c r="D57" s="190"/>
      <c r="E57" s="190"/>
      <c r="F57" s="190"/>
      <c r="G57" s="146"/>
      <c r="H57" s="147"/>
    </row>
    <row r="58" spans="1:48" ht="16.899999999999999" hidden="1" customHeight="1">
      <c r="A58" s="144"/>
      <c r="B58" s="421" t="s">
        <v>240</v>
      </c>
      <c r="C58" s="421"/>
      <c r="D58" s="421"/>
      <c r="E58" s="422">
        <f>ROUND((((1+I36+I37+I38)*(1+I39)*(1+I40))/(1-I60))-1,4)</f>
        <v>0.32950000000000002</v>
      </c>
      <c r="F58" s="423"/>
      <c r="G58" s="146"/>
      <c r="H58" s="147"/>
      <c r="K58" s="191" t="str">
        <f>IF(F12="SIM","UTILIZAR BDI C/ DESONERAÇÃO","")</f>
        <v/>
      </c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</row>
    <row r="59" spans="1:48" ht="13.9" hidden="1" customHeight="1">
      <c r="A59" s="144"/>
      <c r="B59" s="188"/>
      <c r="C59" s="189"/>
      <c r="D59" s="189"/>
      <c r="E59" s="189"/>
      <c r="F59" s="153"/>
      <c r="G59" s="146"/>
      <c r="H59" s="147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</row>
    <row r="60" spans="1:48" ht="27" hidden="1" customHeight="1">
      <c r="A60" s="144"/>
      <c r="B60" s="193" t="s">
        <v>241</v>
      </c>
      <c r="C60" s="162">
        <v>4.4999999999999998E-2</v>
      </c>
      <c r="D60" s="410" t="s">
        <v>225</v>
      </c>
      <c r="E60" s="410"/>
      <c r="F60" s="165">
        <f>+F27+C60</f>
        <v>0.1115</v>
      </c>
      <c r="G60" s="146"/>
      <c r="H60" s="147"/>
      <c r="I60" s="182">
        <f>TRUNC(F60,5)</f>
        <v>0.1115</v>
      </c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  <c r="AV60" s="192"/>
    </row>
    <row r="61" spans="1:48" ht="13.9" hidden="1" customHeight="1">
      <c r="A61" s="167"/>
      <c r="B61" s="194"/>
      <c r="C61" s="195"/>
      <c r="D61" s="195"/>
      <c r="E61" s="195"/>
      <c r="F61" s="196"/>
      <c r="G61" s="168"/>
      <c r="H61" s="147"/>
    </row>
    <row r="65" spans="9:11">
      <c r="I65" s="197"/>
      <c r="J65" s="197"/>
      <c r="K65" s="197"/>
    </row>
    <row r="66" spans="9:11">
      <c r="I66" s="198"/>
    </row>
    <row r="67" spans="9:11">
      <c r="I67" s="199"/>
    </row>
    <row r="68" spans="9:11">
      <c r="I68" s="199"/>
    </row>
    <row r="69" spans="9:11">
      <c r="I69" s="200"/>
    </row>
    <row r="70" spans="9:11">
      <c r="I70" s="199"/>
    </row>
    <row r="71" spans="9:11">
      <c r="I71" s="199"/>
    </row>
    <row r="72" spans="9:11">
      <c r="I72" s="199"/>
    </row>
    <row r="73" spans="9:11">
      <c r="I73" s="199"/>
    </row>
    <row r="74" spans="9:11">
      <c r="I74" s="199"/>
    </row>
    <row r="77" spans="9:11">
      <c r="I77" s="197"/>
    </row>
    <row r="78" spans="9:11">
      <c r="I78" s="166"/>
    </row>
    <row r="79" spans="9:11">
      <c r="I79" s="166"/>
    </row>
    <row r="80" spans="9:11">
      <c r="I80" s="166"/>
    </row>
    <row r="81" spans="9:15">
      <c r="I81" s="166"/>
    </row>
    <row r="82" spans="9:15">
      <c r="I82" s="166"/>
    </row>
    <row r="83" spans="9:15">
      <c r="I83" s="166"/>
    </row>
    <row r="84" spans="9:15">
      <c r="I84" s="166"/>
    </row>
    <row r="85" spans="9:15">
      <c r="I85" s="166"/>
    </row>
    <row r="86" spans="9:15">
      <c r="I86" s="166"/>
    </row>
    <row r="87" spans="9:15">
      <c r="I87" s="201"/>
    </row>
    <row r="88" spans="9:15">
      <c r="I88" s="201"/>
    </row>
    <row r="89" spans="9:15">
      <c r="I89" s="201"/>
    </row>
    <row r="93" spans="9:15">
      <c r="N93" s="166"/>
      <c r="O93" s="177"/>
    </row>
    <row r="94" spans="9:15">
      <c r="N94" s="166"/>
      <c r="O94" s="177"/>
    </row>
    <row r="95" spans="9:15">
      <c r="N95" s="166"/>
      <c r="O95" s="177"/>
    </row>
    <row r="96" spans="9:15">
      <c r="N96" s="166"/>
      <c r="O96" s="177"/>
    </row>
    <row r="97" spans="14:15">
      <c r="N97" s="166"/>
      <c r="O97" s="177"/>
    </row>
    <row r="98" spans="14:15">
      <c r="N98" s="166"/>
      <c r="O98" s="177"/>
    </row>
    <row r="99" spans="14:15">
      <c r="N99" s="166"/>
      <c r="O99" s="177"/>
    </row>
    <row r="100" spans="14:15">
      <c r="N100" s="166"/>
      <c r="O100" s="177"/>
    </row>
    <row r="101" spans="14:15">
      <c r="N101" s="166"/>
      <c r="O101" s="177"/>
    </row>
    <row r="102" spans="14:15">
      <c r="N102" s="166"/>
      <c r="O102" s="177"/>
    </row>
    <row r="103" spans="14:15">
      <c r="N103" s="166"/>
      <c r="O103" s="177"/>
    </row>
    <row r="104" spans="14:15">
      <c r="N104" s="166"/>
    </row>
    <row r="105" spans="14:15">
      <c r="N105" s="166"/>
    </row>
    <row r="106" spans="14:15">
      <c r="N106" s="166"/>
    </row>
    <row r="107" spans="14:15">
      <c r="N107" s="166"/>
    </row>
    <row r="258" spans="72:87" ht="14.25" thickBot="1"/>
    <row r="259" spans="72:87">
      <c r="BT259" s="411" t="s">
        <v>242</v>
      </c>
      <c r="BU259" s="412"/>
      <c r="BV259" s="412"/>
      <c r="BW259" s="412"/>
      <c r="BX259" s="413"/>
    </row>
    <row r="260" spans="72:87">
      <c r="BT260" s="202"/>
      <c r="BU260" s="147" t="s">
        <v>243</v>
      </c>
      <c r="BV260" s="147" t="s">
        <v>244</v>
      </c>
      <c r="BW260" s="147" t="s">
        <v>245</v>
      </c>
      <c r="BX260" s="203"/>
    </row>
    <row r="261" spans="72:87">
      <c r="BT261" s="204">
        <v>100</v>
      </c>
      <c r="BU261" s="205" t="s">
        <v>246</v>
      </c>
      <c r="BV261" s="206">
        <f t="shared" ref="BV261:BV266" si="1">+BT261</f>
        <v>100</v>
      </c>
      <c r="BW261" s="207" t="s">
        <v>247</v>
      </c>
      <c r="BX261" s="203"/>
    </row>
    <row r="262" spans="72:87" ht="27">
      <c r="BT262" s="204">
        <v>200</v>
      </c>
      <c r="BU262" s="205" t="s">
        <v>248</v>
      </c>
      <c r="BV262" s="206">
        <f t="shared" si="1"/>
        <v>200</v>
      </c>
      <c r="BW262" s="207" t="s">
        <v>249</v>
      </c>
      <c r="BX262" s="203"/>
    </row>
    <row r="263" spans="72:87" ht="66">
      <c r="BT263" s="204">
        <v>300</v>
      </c>
      <c r="BU263" s="208" t="s">
        <v>74</v>
      </c>
      <c r="BV263" s="206">
        <f t="shared" si="1"/>
        <v>300</v>
      </c>
      <c r="BW263" s="207" t="s">
        <v>250</v>
      </c>
      <c r="BX263" s="203"/>
    </row>
    <row r="264" spans="72:87" ht="66">
      <c r="BT264" s="204">
        <v>400</v>
      </c>
      <c r="BU264" s="208" t="s">
        <v>70</v>
      </c>
      <c r="BV264" s="206">
        <f t="shared" si="1"/>
        <v>400</v>
      </c>
      <c r="BW264" s="207" t="s">
        <v>251</v>
      </c>
      <c r="BX264" s="203"/>
    </row>
    <row r="265" spans="72:87" ht="27">
      <c r="BT265" s="204">
        <v>500</v>
      </c>
      <c r="BU265" s="205" t="s">
        <v>252</v>
      </c>
      <c r="BV265" s="206">
        <f t="shared" si="1"/>
        <v>500</v>
      </c>
      <c r="BW265" s="207" t="s">
        <v>253</v>
      </c>
      <c r="BX265" s="203"/>
    </row>
    <row r="266" spans="72:87" ht="27">
      <c r="BT266" s="204">
        <v>600</v>
      </c>
      <c r="BU266" s="205" t="s">
        <v>75</v>
      </c>
      <c r="BV266" s="206">
        <f t="shared" si="1"/>
        <v>600</v>
      </c>
      <c r="BW266" s="207" t="s">
        <v>254</v>
      </c>
      <c r="BX266" s="203"/>
    </row>
    <row r="267" spans="72:87">
      <c r="BT267" s="204"/>
      <c r="BU267" s="206"/>
      <c r="BV267" s="206"/>
      <c r="BW267" s="207"/>
      <c r="BX267" s="203"/>
    </row>
    <row r="268" spans="72:87">
      <c r="BT268" s="209"/>
      <c r="BU268" s="207"/>
      <c r="BV268" s="207"/>
      <c r="BW268" s="207"/>
      <c r="BX268" s="203"/>
    </row>
    <row r="269" spans="72:87">
      <c r="BT269" s="209"/>
      <c r="BU269" s="207"/>
      <c r="BV269" s="207"/>
      <c r="BW269" s="207"/>
      <c r="BX269" s="203"/>
      <c r="CF269" s="134" t="s">
        <v>255</v>
      </c>
      <c r="CG269" s="134" t="s">
        <v>256</v>
      </c>
      <c r="CH269" s="134" t="s">
        <v>257</v>
      </c>
    </row>
    <row r="270" spans="72:87">
      <c r="BT270" s="202"/>
      <c r="BU270" s="147"/>
      <c r="BV270" s="147"/>
      <c r="BW270" s="147"/>
      <c r="BX270" s="203"/>
      <c r="CE270" s="134" t="s">
        <v>258</v>
      </c>
      <c r="CF270" s="177">
        <v>6.4999999999999997E-3</v>
      </c>
      <c r="CG270" s="210">
        <v>0.03</v>
      </c>
      <c r="CH270" s="134" t="s">
        <v>259</v>
      </c>
      <c r="CI270" s="177" t="e">
        <f>(#REF!+#REF!)+C25</f>
        <v>#REF!</v>
      </c>
    </row>
    <row r="271" spans="72:87">
      <c r="BT271" s="202"/>
      <c r="BU271" s="147"/>
      <c r="BV271" s="147"/>
      <c r="BW271" s="147"/>
      <c r="BX271" s="203"/>
      <c r="CF271" s="177">
        <v>1.6500000000000001E-2</v>
      </c>
      <c r="CG271" s="177">
        <v>7.5999999999999998E-2</v>
      </c>
      <c r="CH271" s="134" t="s">
        <v>260</v>
      </c>
      <c r="CI271" s="177" t="e">
        <f>(#REF!+#REF!)*#REF!+C25</f>
        <v>#REF!</v>
      </c>
    </row>
    <row r="272" spans="72:87">
      <c r="BT272" s="202"/>
      <c r="BU272" s="147"/>
      <c r="BV272" s="147"/>
      <c r="BW272" s="147"/>
      <c r="BX272" s="203"/>
    </row>
    <row r="273" spans="72:86">
      <c r="BT273" s="211"/>
      <c r="BU273" s="212"/>
      <c r="BV273" s="212"/>
      <c r="BW273" s="147"/>
      <c r="BX273" s="203"/>
    </row>
    <row r="274" spans="72:86">
      <c r="BT274" s="202"/>
      <c r="BU274" s="147"/>
      <c r="BV274" s="147"/>
      <c r="BW274" s="147"/>
      <c r="BX274" s="203"/>
    </row>
    <row r="275" spans="72:86" ht="14.25" thickBot="1">
      <c r="BT275" s="202"/>
      <c r="BU275" s="147"/>
      <c r="BV275" s="147"/>
      <c r="BW275" s="147"/>
      <c r="BX275" s="203"/>
      <c r="CD275" s="134">
        <f>BT261</f>
        <v>100</v>
      </c>
      <c r="CE275" s="409" t="str">
        <f>BU261</f>
        <v>Construção de edificios</v>
      </c>
      <c r="CF275" s="409"/>
      <c r="CG275" s="409"/>
      <c r="CH275" s="409"/>
    </row>
    <row r="276" spans="72:86" ht="17.25" thickBot="1">
      <c r="BT276" s="202"/>
      <c r="BU276" s="147"/>
      <c r="BV276" s="147"/>
      <c r="BW276" s="147"/>
      <c r="BX276" s="203"/>
      <c r="CD276" s="134">
        <f>+CD275+1</f>
        <v>101</v>
      </c>
      <c r="CE276" s="213" t="s">
        <v>71</v>
      </c>
      <c r="CF276" s="214">
        <v>0.03</v>
      </c>
      <c r="CG276" s="214">
        <v>0.04</v>
      </c>
      <c r="CH276" s="214">
        <v>5.5E-2</v>
      </c>
    </row>
    <row r="277" spans="72:86" ht="17.25" thickBot="1">
      <c r="BT277" s="202"/>
      <c r="BU277" s="147"/>
      <c r="BV277" s="147"/>
      <c r="BW277" s="147"/>
      <c r="BX277" s="203"/>
      <c r="CD277" s="134">
        <f>+CD276+1</f>
        <v>102</v>
      </c>
      <c r="CE277" s="213" t="s">
        <v>234</v>
      </c>
      <c r="CF277" s="214">
        <v>8.0000000000000002E-3</v>
      </c>
      <c r="CG277" s="214">
        <v>8.0000000000000002E-3</v>
      </c>
      <c r="CH277" s="214">
        <v>0.01</v>
      </c>
    </row>
    <row r="278" spans="72:86" ht="17.25" thickBot="1">
      <c r="BT278" s="202"/>
      <c r="BU278" s="147"/>
      <c r="BV278" s="147"/>
      <c r="BW278" s="147"/>
      <c r="BX278" s="203"/>
      <c r="CD278" s="134">
        <f>+CD277+1</f>
        <v>103</v>
      </c>
      <c r="CE278" s="213" t="s">
        <v>235</v>
      </c>
      <c r="CF278" s="214">
        <v>9.7000000000000003E-3</v>
      </c>
      <c r="CG278" s="214">
        <v>1.2699999999999999E-2</v>
      </c>
      <c r="CH278" s="214">
        <v>1.2699999999999999E-2</v>
      </c>
    </row>
    <row r="279" spans="72:86" ht="17.25" thickBot="1">
      <c r="BT279" s="211"/>
      <c r="BU279" s="212"/>
      <c r="BV279" s="212"/>
      <c r="BW279" s="147"/>
      <c r="BX279" s="203"/>
      <c r="CD279" s="134">
        <f>+CD278+1</f>
        <v>104</v>
      </c>
      <c r="CE279" s="213" t="s">
        <v>72</v>
      </c>
      <c r="CF279" s="214">
        <v>5.8999999999999999E-3</v>
      </c>
      <c r="CG279" s="214">
        <v>1.23E-2</v>
      </c>
      <c r="CH279" s="214">
        <v>1.3899999999999999E-2</v>
      </c>
    </row>
    <row r="280" spans="72:86" ht="17.25" thickBot="1">
      <c r="BT280" s="202"/>
      <c r="BU280" s="147"/>
      <c r="BV280" s="147"/>
      <c r="BW280" s="147"/>
      <c r="BX280" s="203"/>
      <c r="CD280" s="134">
        <f>+CD279+1</f>
        <v>105</v>
      </c>
      <c r="CE280" s="213" t="s">
        <v>73</v>
      </c>
      <c r="CF280" s="214">
        <v>6.1600000000000002E-2</v>
      </c>
      <c r="CG280" s="214">
        <v>7.3999999999999996E-2</v>
      </c>
      <c r="CH280" s="214">
        <v>8.9599999999999999E-2</v>
      </c>
    </row>
    <row r="281" spans="72:86">
      <c r="BT281" s="202"/>
      <c r="BU281" s="147"/>
      <c r="BV281" s="147"/>
      <c r="BW281" s="147"/>
      <c r="BX281" s="203"/>
    </row>
    <row r="282" spans="72:86">
      <c r="BT282" s="202"/>
      <c r="BU282" s="147"/>
      <c r="BV282" s="147"/>
      <c r="BW282" s="147"/>
      <c r="BX282" s="203"/>
    </row>
    <row r="283" spans="72:86" ht="14.25" thickBot="1">
      <c r="BT283" s="202"/>
      <c r="BU283" s="147"/>
      <c r="BV283" s="147"/>
      <c r="BW283" s="147"/>
      <c r="BX283" s="203"/>
      <c r="CD283" s="134">
        <f>BT262</f>
        <v>200</v>
      </c>
      <c r="CE283" s="409" t="str">
        <f>BU262</f>
        <v>Construção de rodovias e ferrovias</v>
      </c>
      <c r="CF283" s="409"/>
      <c r="CG283" s="409"/>
      <c r="CH283" s="409"/>
    </row>
    <row r="284" spans="72:86" ht="17.25" thickBot="1">
      <c r="BT284" s="202"/>
      <c r="BU284" s="147"/>
      <c r="BV284" s="147"/>
      <c r="BW284" s="147"/>
      <c r="BX284" s="203"/>
      <c r="CD284" s="134">
        <f>+CD283+1</f>
        <v>201</v>
      </c>
      <c r="CE284" s="213" t="s">
        <v>71</v>
      </c>
      <c r="CF284" s="214">
        <v>3.7999999999999999E-2</v>
      </c>
      <c r="CG284" s="214">
        <v>4.0099999999999997E-2</v>
      </c>
      <c r="CH284" s="214">
        <v>4.6699999999999998E-2</v>
      </c>
    </row>
    <row r="285" spans="72:86" ht="17.25" thickBot="1">
      <c r="BT285" s="202"/>
      <c r="BU285" s="147"/>
      <c r="BV285" s="147"/>
      <c r="BW285" s="147"/>
      <c r="BX285" s="203"/>
      <c r="CD285" s="134">
        <f>+CD284+1</f>
        <v>202</v>
      </c>
      <c r="CE285" s="213" t="s">
        <v>234</v>
      </c>
      <c r="CF285" s="214">
        <v>3.2000000000000002E-3</v>
      </c>
      <c r="CG285" s="214">
        <v>4.0000000000000001E-3</v>
      </c>
      <c r="CH285" s="214">
        <v>7.4000000000000003E-3</v>
      </c>
    </row>
    <row r="286" spans="72:86" ht="17.25" thickBot="1">
      <c r="BT286" s="411"/>
      <c r="BU286" s="412"/>
      <c r="BV286" s="412"/>
      <c r="BW286" s="412"/>
      <c r="BX286" s="413"/>
      <c r="CD286" s="134">
        <f>+CD285+1</f>
        <v>203</v>
      </c>
      <c r="CE286" s="213" t="s">
        <v>235</v>
      </c>
      <c r="CF286" s="214">
        <v>5.0000000000000001E-3</v>
      </c>
      <c r="CG286" s="214">
        <v>5.5999999999999999E-3</v>
      </c>
      <c r="CH286" s="214">
        <v>9.7000000000000003E-3</v>
      </c>
    </row>
    <row r="287" spans="72:86" ht="17.25" thickBot="1">
      <c r="BT287" s="202"/>
      <c r="BU287" s="147"/>
      <c r="BV287" s="147"/>
      <c r="BW287" s="147"/>
      <c r="BX287" s="203"/>
      <c r="CD287" s="134">
        <f>+CD286+1</f>
        <v>204</v>
      </c>
      <c r="CE287" s="213" t="s">
        <v>72</v>
      </c>
      <c r="CF287" s="214">
        <v>1.0200000000000001E-2</v>
      </c>
      <c r="CG287" s="214">
        <v>1.11E-2</v>
      </c>
      <c r="CH287" s="214">
        <v>1.21E-2</v>
      </c>
    </row>
    <row r="288" spans="72:86" ht="17.25" thickBot="1">
      <c r="BT288" s="202"/>
      <c r="BU288" s="147"/>
      <c r="BV288" s="147"/>
      <c r="BW288" s="147"/>
      <c r="BX288" s="203"/>
      <c r="CD288" s="134">
        <f>+CD287+1</f>
        <v>205</v>
      </c>
      <c r="CE288" s="213" t="s">
        <v>73</v>
      </c>
      <c r="CF288" s="214">
        <v>6.6400000000000001E-2</v>
      </c>
      <c r="CG288" s="214">
        <v>7.2999999999999995E-2</v>
      </c>
      <c r="CH288" s="214">
        <v>8.6900000000000005E-2</v>
      </c>
    </row>
    <row r="289" spans="72:86">
      <c r="BT289" s="202"/>
      <c r="BU289" s="147"/>
      <c r="BV289" s="147"/>
      <c r="BW289" s="147"/>
      <c r="BX289" s="203"/>
    </row>
    <row r="290" spans="72:86" ht="14.25" thickBot="1">
      <c r="BT290" s="215"/>
      <c r="BU290" s="216"/>
      <c r="BV290" s="216"/>
      <c r="BW290" s="216"/>
      <c r="BX290" s="217"/>
    </row>
    <row r="291" spans="72:86" ht="14.25" thickBot="1">
      <c r="BT291" s="411"/>
      <c r="BU291" s="412"/>
      <c r="BV291" s="412"/>
      <c r="BW291" s="412"/>
      <c r="BX291" s="413"/>
      <c r="CD291" s="134">
        <f>BT263</f>
        <v>300</v>
      </c>
      <c r="CE291" s="409" t="str">
        <f>BU263</f>
        <v>Construção de Redes de Abastecimento de Água, Coleta de Esgoto e Construções Correlatas</v>
      </c>
      <c r="CF291" s="409"/>
      <c r="CG291" s="409"/>
      <c r="CH291" s="409"/>
    </row>
    <row r="292" spans="72:86" ht="17.25" thickBot="1">
      <c r="BT292" s="414"/>
      <c r="BU292" s="415"/>
      <c r="BV292" s="415"/>
      <c r="BW292" s="415"/>
      <c r="BX292" s="416"/>
      <c r="CD292" s="134">
        <f>+CD291+1</f>
        <v>301</v>
      </c>
      <c r="CE292" s="218" t="s">
        <v>71</v>
      </c>
      <c r="CF292" s="219">
        <v>3.4299999999999997E-2</v>
      </c>
      <c r="CG292" s="219">
        <v>4.9299999999999997E-2</v>
      </c>
      <c r="CH292" s="219">
        <v>6.7100000000000007E-2</v>
      </c>
    </row>
    <row r="293" spans="72:86" ht="17.25" thickBot="1">
      <c r="BT293" s="414"/>
      <c r="BU293" s="415"/>
      <c r="BV293" s="415"/>
      <c r="BW293" s="415"/>
      <c r="BX293" s="416"/>
      <c r="CD293" s="134">
        <f>+CD292+1</f>
        <v>302</v>
      </c>
      <c r="CE293" s="213" t="s">
        <v>234</v>
      </c>
      <c r="CF293" s="214">
        <v>2.8E-3</v>
      </c>
      <c r="CG293" s="214">
        <v>4.8999999999999998E-3</v>
      </c>
      <c r="CH293" s="214">
        <v>7.4999999999999997E-3</v>
      </c>
    </row>
    <row r="294" spans="72:86" ht="17.25" thickBot="1">
      <c r="BT294" s="220"/>
      <c r="BU294" s="221"/>
      <c r="BV294" s="222"/>
      <c r="BW294" s="222"/>
      <c r="BX294" s="223"/>
      <c r="CD294" s="134">
        <f>+CD293+1</f>
        <v>303</v>
      </c>
      <c r="CE294" s="213" t="s">
        <v>235</v>
      </c>
      <c r="CF294" s="214">
        <v>0.01</v>
      </c>
      <c r="CG294" s="214">
        <v>1.3899999999999999E-2</v>
      </c>
      <c r="CH294" s="214">
        <v>1.7399999999999999E-2</v>
      </c>
    </row>
    <row r="295" spans="72:86" ht="17.25" thickBot="1">
      <c r="BT295" s="202"/>
      <c r="BU295" s="147"/>
      <c r="BV295" s="147"/>
      <c r="BW295" s="147"/>
      <c r="BX295" s="203"/>
      <c r="CD295" s="134">
        <f>+CD294+1</f>
        <v>304</v>
      </c>
      <c r="CE295" s="213" t="s">
        <v>72</v>
      </c>
      <c r="CF295" s="214">
        <v>9.4000000000000004E-3</v>
      </c>
      <c r="CG295" s="214">
        <v>9.9000000000000008E-3</v>
      </c>
      <c r="CH295" s="214">
        <v>1.17E-2</v>
      </c>
    </row>
    <row r="296" spans="72:86" ht="17.25" thickBot="1">
      <c r="BT296" s="215"/>
      <c r="BU296" s="216"/>
      <c r="BV296" s="216"/>
      <c r="BW296" s="216"/>
      <c r="BX296" s="217"/>
      <c r="CD296" s="134">
        <f>+CD295+1</f>
        <v>305</v>
      </c>
      <c r="CE296" s="213" t="s">
        <v>73</v>
      </c>
      <c r="CF296" s="214">
        <v>6.7400000000000002E-2</v>
      </c>
      <c r="CG296" s="214">
        <v>8.0399999999999999E-2</v>
      </c>
      <c r="CH296" s="214">
        <v>9.4E-2</v>
      </c>
    </row>
    <row r="297" spans="72:86">
      <c r="BT297" s="411"/>
      <c r="BU297" s="412"/>
      <c r="BV297" s="412"/>
      <c r="BW297" s="412"/>
      <c r="BX297" s="413"/>
    </row>
    <row r="298" spans="72:86" ht="14.25" thickBot="1">
      <c r="BT298" s="224"/>
      <c r="BU298" s="225" t="s">
        <v>261</v>
      </c>
      <c r="BV298" s="225" t="s">
        <v>262</v>
      </c>
      <c r="BW298" s="225" t="s">
        <v>263</v>
      </c>
      <c r="BX298" s="225" t="s">
        <v>264</v>
      </c>
      <c r="CD298" s="134">
        <f>BT264</f>
        <v>400</v>
      </c>
      <c r="CE298" s="409" t="str">
        <f>BU264</f>
        <v>Construção e Manutenção de Estações e Redes de Distribuição de Energia Elétrica</v>
      </c>
      <c r="CF298" s="409"/>
      <c r="CG298" s="409"/>
      <c r="CH298" s="409"/>
    </row>
    <row r="299" spans="72:86" ht="17.25" thickBot="1">
      <c r="BT299" s="224" t="s">
        <v>76</v>
      </c>
      <c r="BU299" s="225">
        <f>VLOOKUP(C10,BU261:BV266,2,0)</f>
        <v>400</v>
      </c>
      <c r="BV299" s="226">
        <f>VLOOKUP($BU299,$BT$310:$BX$315,3,0)</f>
        <v>0.24</v>
      </c>
      <c r="BW299" s="226">
        <f>VLOOKUP($BU299,$BT$310:$BX$315,4,0)</f>
        <v>0.25840000000000002</v>
      </c>
      <c r="BX299" s="226">
        <f>VLOOKUP($BU299,$BT$310:$BX$315,5,0)</f>
        <v>0.27860000000000001</v>
      </c>
      <c r="CD299" s="134">
        <f>+CD298+1</f>
        <v>401</v>
      </c>
      <c r="CE299" s="218" t="s">
        <v>71</v>
      </c>
      <c r="CF299" s="219">
        <v>5.2900000000000003E-2</v>
      </c>
      <c r="CG299" s="219">
        <v>5.9200000000000003E-2</v>
      </c>
      <c r="CH299" s="219">
        <v>7.9299999999999995E-2</v>
      </c>
    </row>
    <row r="300" spans="72:86" ht="33.75" thickBot="1">
      <c r="BT300" s="227" t="s">
        <v>71</v>
      </c>
      <c r="BU300" s="225">
        <f>+BU299+1</f>
        <v>401</v>
      </c>
      <c r="BV300" s="226">
        <f>VLOOKUP($BU300,$CD$275:$CH$316,3,0)</f>
        <v>5.2900000000000003E-2</v>
      </c>
      <c r="BW300" s="226">
        <f>VLOOKUP($BU300,$CD$275:$CH$316,4,0)</f>
        <v>5.9200000000000003E-2</v>
      </c>
      <c r="BX300" s="226">
        <f>VLOOKUP($BU300,$CD$275:$CH$316,5,0)</f>
        <v>7.9299999999999995E-2</v>
      </c>
      <c r="CD300" s="134">
        <f>+CD299+1</f>
        <v>402</v>
      </c>
      <c r="CE300" s="213" t="s">
        <v>234</v>
      </c>
      <c r="CF300" s="214">
        <v>2.5000000000000001E-3</v>
      </c>
      <c r="CG300" s="214">
        <v>5.1000000000000004E-3</v>
      </c>
      <c r="CH300" s="214">
        <v>5.5999999999999999E-3</v>
      </c>
    </row>
    <row r="301" spans="72:86" ht="17.25" thickBot="1">
      <c r="BT301" s="227" t="s">
        <v>234</v>
      </c>
      <c r="BU301" s="225">
        <f>+BU300+1</f>
        <v>402</v>
      </c>
      <c r="BV301" s="226">
        <f>VLOOKUP($BU301,$CD$275:$CH$316,3,0)</f>
        <v>2.5000000000000001E-3</v>
      </c>
      <c r="BW301" s="226">
        <f>VLOOKUP($BU301,$CD$275:$CH$316,4,0)</f>
        <v>5.1000000000000004E-3</v>
      </c>
      <c r="BX301" s="226">
        <f>VLOOKUP($BU301,$CD$275:$CH$316,5,0)</f>
        <v>5.5999999999999999E-3</v>
      </c>
      <c r="CD301" s="134">
        <f>+CD300+1</f>
        <v>403</v>
      </c>
      <c r="CE301" s="213" t="s">
        <v>235</v>
      </c>
      <c r="CF301" s="214">
        <v>0.01</v>
      </c>
      <c r="CG301" s="214">
        <v>1.4800000000000001E-2</v>
      </c>
      <c r="CH301" s="214">
        <v>1.9699999999999999E-2</v>
      </c>
    </row>
    <row r="302" spans="72:86" ht="17.25" thickBot="1">
      <c r="BT302" s="227" t="s">
        <v>235</v>
      </c>
      <c r="BU302" s="225">
        <f>+BU301+1</f>
        <v>403</v>
      </c>
      <c r="BV302" s="226">
        <f>VLOOKUP($BU302,$CD$275:$CH$316,3,0)</f>
        <v>0.01</v>
      </c>
      <c r="BW302" s="226">
        <f>VLOOKUP($BU302,$CD$275:$CH$316,4,0)</f>
        <v>1.4800000000000001E-2</v>
      </c>
      <c r="BX302" s="226">
        <f>VLOOKUP($BU302,$CD$275:$CH$316,5,0)</f>
        <v>1.9699999999999999E-2</v>
      </c>
      <c r="CD302" s="134">
        <f>+CD301+1</f>
        <v>404</v>
      </c>
      <c r="CE302" s="213" t="s">
        <v>72</v>
      </c>
      <c r="CF302" s="214">
        <v>1.01E-2</v>
      </c>
      <c r="CG302" s="214">
        <v>1.0699999999999999E-2</v>
      </c>
      <c r="CH302" s="214">
        <v>1.11E-2</v>
      </c>
    </row>
    <row r="303" spans="72:86" ht="33.75" thickBot="1">
      <c r="BT303" s="227" t="s">
        <v>72</v>
      </c>
      <c r="BU303" s="225">
        <f>+BU302+1</f>
        <v>404</v>
      </c>
      <c r="BV303" s="226">
        <f>VLOOKUP($BU303,$CD$275:$CH$316,3,0)</f>
        <v>1.01E-2</v>
      </c>
      <c r="BW303" s="226">
        <f>VLOOKUP($BU303,$CD$275:$CH$316,4,0)</f>
        <v>1.0699999999999999E-2</v>
      </c>
      <c r="BX303" s="226">
        <f>VLOOKUP($BU303,$CD$275:$CH$316,5,0)</f>
        <v>1.11E-2</v>
      </c>
      <c r="CD303" s="134">
        <f>+CD302+1</f>
        <v>405</v>
      </c>
      <c r="CE303" s="213" t="s">
        <v>73</v>
      </c>
      <c r="CF303" s="214">
        <v>0.08</v>
      </c>
      <c r="CG303" s="214">
        <v>8.3099999999999993E-2</v>
      </c>
      <c r="CH303" s="214">
        <v>9.5100000000000004E-2</v>
      </c>
    </row>
    <row r="304" spans="72:86" ht="17.25" thickBot="1">
      <c r="BT304" s="227" t="s">
        <v>73</v>
      </c>
      <c r="BU304" s="225">
        <f>+BU303+1</f>
        <v>405</v>
      </c>
      <c r="BV304" s="226">
        <f>VLOOKUP($BU304,$CD$275:$CH$316,3,0)</f>
        <v>0.08</v>
      </c>
      <c r="BW304" s="226">
        <f>VLOOKUP($BU304,$CD$275:$CH$316,4,0)</f>
        <v>8.3099999999999993E-2</v>
      </c>
      <c r="BX304" s="226">
        <f>VLOOKUP($BU304,$CD$275:$CH$316,5,0)</f>
        <v>9.5100000000000004E-2</v>
      </c>
      <c r="CD304" s="134">
        <f>BT265</f>
        <v>500</v>
      </c>
      <c r="CE304" s="409" t="str">
        <f>BU265</f>
        <v>Portuárias, Marítimas e Fluviais</v>
      </c>
      <c r="CF304" s="409"/>
      <c r="CG304" s="409"/>
      <c r="CH304" s="409"/>
    </row>
    <row r="305" spans="72:86" ht="17.25" thickBot="1">
      <c r="BT305" s="202"/>
      <c r="BU305" s="147"/>
      <c r="BV305" s="147"/>
      <c r="BW305" s="147"/>
      <c r="BX305" s="203"/>
      <c r="CD305" s="134">
        <f>+CD304+1</f>
        <v>501</v>
      </c>
      <c r="CE305" s="218" t="s">
        <v>71</v>
      </c>
      <c r="CF305" s="219">
        <v>0.04</v>
      </c>
      <c r="CG305" s="219">
        <v>5.5199999999999999E-2</v>
      </c>
      <c r="CH305" s="219">
        <v>7.85E-2</v>
      </c>
    </row>
    <row r="306" spans="72:86" ht="17.25" thickBot="1">
      <c r="CD306" s="134">
        <f>+CD305+1</f>
        <v>502</v>
      </c>
      <c r="CE306" s="213" t="s">
        <v>234</v>
      </c>
      <c r="CF306" s="214">
        <v>8.0999999999999996E-3</v>
      </c>
      <c r="CG306" s="214">
        <v>1.2200000000000001E-2</v>
      </c>
      <c r="CH306" s="214">
        <v>1.9900000000000001E-2</v>
      </c>
    </row>
    <row r="307" spans="72:86" ht="17.25" thickBot="1">
      <c r="CD307" s="134">
        <f>+CD306+1</f>
        <v>503</v>
      </c>
      <c r="CE307" s="213" t="s">
        <v>235</v>
      </c>
      <c r="CF307" s="214">
        <v>1.46E-2</v>
      </c>
      <c r="CG307" s="214">
        <v>2.3199999999999998E-2</v>
      </c>
      <c r="CH307" s="214">
        <v>3.1600000000000003E-2</v>
      </c>
    </row>
    <row r="308" spans="72:86" ht="17.25" thickBot="1">
      <c r="CD308" s="134">
        <f>+CD307+1</f>
        <v>504</v>
      </c>
      <c r="CE308" s="213" t="s">
        <v>72</v>
      </c>
      <c r="CF308" s="214">
        <v>9.4000000000000004E-3</v>
      </c>
      <c r="CG308" s="214">
        <v>1.0200000000000001E-2</v>
      </c>
      <c r="CH308" s="214">
        <v>1.3299999999999999E-2</v>
      </c>
    </row>
    <row r="309" spans="72:86" ht="17.25" thickBot="1">
      <c r="BV309" s="228" t="s">
        <v>265</v>
      </c>
      <c r="BW309" s="229" t="s">
        <v>263</v>
      </c>
      <c r="BX309" s="229" t="s">
        <v>266</v>
      </c>
      <c r="CD309" s="134">
        <f>+CD308+1</f>
        <v>505</v>
      </c>
      <c r="CE309" s="213" t="s">
        <v>73</v>
      </c>
      <c r="CF309" s="214">
        <v>7.1400000000000005E-2</v>
      </c>
      <c r="CG309" s="214">
        <v>8.4000000000000005E-2</v>
      </c>
      <c r="CH309" s="214">
        <v>0.1043</v>
      </c>
    </row>
    <row r="310" spans="72:86" ht="17.25" thickBot="1">
      <c r="BT310" s="134">
        <f>BT261</f>
        <v>100</v>
      </c>
      <c r="BU310" s="218" t="str">
        <f t="shared" ref="BU310:BU315" si="2">VLOOKUP(BT310,BT261:BU266,2,0)</f>
        <v>Construção de edificios</v>
      </c>
      <c r="BV310" s="219">
        <v>0.2034</v>
      </c>
      <c r="BW310" s="219">
        <v>0.22120000000000001</v>
      </c>
      <c r="BX310" s="219">
        <v>0.25</v>
      </c>
    </row>
    <row r="311" spans="72:86" ht="33.75" thickBot="1">
      <c r="BT311" s="134">
        <v>200</v>
      </c>
      <c r="BU311" s="218" t="str">
        <f t="shared" si="2"/>
        <v>Construção de rodovias e ferrovias</v>
      </c>
      <c r="BV311" s="214">
        <v>0.19600000000000001</v>
      </c>
      <c r="BW311" s="214">
        <v>0.2097</v>
      </c>
      <c r="BX311" s="214">
        <v>0.24229999999999999</v>
      </c>
      <c r="CD311" s="134">
        <f>BT266</f>
        <v>600</v>
      </c>
      <c r="CE311" s="409" t="str">
        <f>BU266</f>
        <v>Fornecimento de Materiais e Equipamentos</v>
      </c>
      <c r="CF311" s="409"/>
      <c r="CG311" s="409"/>
      <c r="CH311" s="409"/>
    </row>
    <row r="312" spans="72:86" ht="66.75" thickBot="1">
      <c r="BT312" s="134">
        <f>BT263</f>
        <v>300</v>
      </c>
      <c r="BU312" s="218" t="str">
        <f t="shared" si="2"/>
        <v>Construção de Redes de Abastecimento de Água, Coleta de Esgoto e Construções Correlatas</v>
      </c>
      <c r="BV312" s="214">
        <v>0.20760000000000001</v>
      </c>
      <c r="BW312" s="214">
        <v>0.24179999999999999</v>
      </c>
      <c r="BX312" s="214">
        <v>0.26440000000000002</v>
      </c>
      <c r="CD312" s="134">
        <f>+CD311+1</f>
        <v>601</v>
      </c>
      <c r="CE312" s="218" t="s">
        <v>71</v>
      </c>
      <c r="CF312" s="219">
        <v>1.4999999999999999E-2</v>
      </c>
      <c r="CG312" s="219">
        <v>3.4500000000000003E-2</v>
      </c>
      <c r="CH312" s="219">
        <v>4.4900000000000002E-2</v>
      </c>
    </row>
    <row r="313" spans="72:86" ht="66.75" thickBot="1">
      <c r="BT313" s="134">
        <v>400</v>
      </c>
      <c r="BU313" s="218" t="str">
        <f t="shared" si="2"/>
        <v>Construção e Manutenção de Estações e Redes de Distribuição de Energia Elétrica</v>
      </c>
      <c r="BV313" s="214">
        <v>0.24</v>
      </c>
      <c r="BW313" s="214">
        <v>0.25840000000000002</v>
      </c>
      <c r="BX313" s="214">
        <v>0.27860000000000001</v>
      </c>
      <c r="CD313" s="134">
        <f>+CD312+1</f>
        <v>602</v>
      </c>
      <c r="CE313" s="213" t="s">
        <v>234</v>
      </c>
      <c r="CF313" s="214">
        <v>3.0000000000000001E-3</v>
      </c>
      <c r="CG313" s="214">
        <v>4.7999999999999996E-3</v>
      </c>
      <c r="CH313" s="214">
        <v>8.2000000000000007E-3</v>
      </c>
    </row>
    <row r="314" spans="72:86" ht="33.75" thickBot="1">
      <c r="BT314" s="134">
        <v>500</v>
      </c>
      <c r="BU314" s="218" t="str">
        <f t="shared" si="2"/>
        <v>Portuárias, Marítimas e Fluviais</v>
      </c>
      <c r="BV314" s="214">
        <v>0.22800000000000001</v>
      </c>
      <c r="BW314" s="214">
        <v>0.27479999999999999</v>
      </c>
      <c r="BX314" s="214">
        <v>0.3095</v>
      </c>
      <c r="CD314" s="134">
        <f>+CD313+1</f>
        <v>603</v>
      </c>
      <c r="CE314" s="213" t="s">
        <v>235</v>
      </c>
      <c r="CF314" s="214">
        <v>5.5999999999999999E-3</v>
      </c>
      <c r="CG314" s="214">
        <v>8.5000000000000006E-3</v>
      </c>
      <c r="CH314" s="214">
        <v>8.8999999999999999E-3</v>
      </c>
    </row>
    <row r="315" spans="72:86" ht="33.75" thickBot="1">
      <c r="BT315" s="134">
        <v>600</v>
      </c>
      <c r="BU315" s="218" t="str">
        <f t="shared" si="2"/>
        <v>Fornecimento de Materiais e Equipamentos</v>
      </c>
      <c r="BV315" s="214">
        <v>0.111</v>
      </c>
      <c r="BW315" s="214">
        <v>0.14019999999999999</v>
      </c>
      <c r="BX315" s="214">
        <v>0.16800000000000001</v>
      </c>
      <c r="CD315" s="134">
        <f>+CD314+1</f>
        <v>604</v>
      </c>
      <c r="CE315" s="213" t="s">
        <v>72</v>
      </c>
      <c r="CF315" s="214">
        <v>8.5000000000000006E-3</v>
      </c>
      <c r="CG315" s="214">
        <v>8.5000000000000006E-3</v>
      </c>
      <c r="CH315" s="214">
        <v>1.11E-2</v>
      </c>
    </row>
    <row r="316" spans="72:86" ht="17.25" thickBot="1">
      <c r="CD316" s="134">
        <f>+CD315+1</f>
        <v>605</v>
      </c>
      <c r="CE316" s="213" t="s">
        <v>73</v>
      </c>
      <c r="CF316" s="214">
        <v>3.5000000000000003E-2</v>
      </c>
      <c r="CG316" s="214">
        <v>5.11E-2</v>
      </c>
      <c r="CH316" s="214">
        <v>6.2199999999999998E-2</v>
      </c>
    </row>
  </sheetData>
  <mergeCells count="31">
    <mergeCell ref="K20:AV21"/>
    <mergeCell ref="B33:F33"/>
    <mergeCell ref="B5:F5"/>
    <mergeCell ref="B8:F8"/>
    <mergeCell ref="C10:F10"/>
    <mergeCell ref="B16:F16"/>
    <mergeCell ref="D20:F20"/>
    <mergeCell ref="D22:F22"/>
    <mergeCell ref="D23:F23"/>
    <mergeCell ref="D27:E27"/>
    <mergeCell ref="B29:F29"/>
    <mergeCell ref="B30:F30"/>
    <mergeCell ref="B34:F34"/>
    <mergeCell ref="E49:F49"/>
    <mergeCell ref="B51:F51"/>
    <mergeCell ref="B56:F56"/>
    <mergeCell ref="B58:D58"/>
    <mergeCell ref="E58:F58"/>
    <mergeCell ref="CE311:CH311"/>
    <mergeCell ref="D60:E60"/>
    <mergeCell ref="BT259:BX259"/>
    <mergeCell ref="CE275:CH275"/>
    <mergeCell ref="CE283:CH283"/>
    <mergeCell ref="BT286:BX286"/>
    <mergeCell ref="BT291:BX291"/>
    <mergeCell ref="CE291:CH291"/>
    <mergeCell ref="BT292:BX292"/>
    <mergeCell ref="BT293:BX293"/>
    <mergeCell ref="BT297:BX297"/>
    <mergeCell ref="CE298:CH298"/>
    <mergeCell ref="CE304:CH304"/>
  </mergeCells>
  <conditionalFormatting sqref="F36:F40">
    <cfRule type="cellIs" dxfId="3" priority="1" stopIfTrue="1" operator="between">
      <formula>$C36</formula>
      <formula>$E36</formula>
    </cfRule>
  </conditionalFormatting>
  <conditionalFormatting sqref="B56:D60 E56:F57 E59:F60">
    <cfRule type="expression" dxfId="2" priority="2" stopIfTrue="1">
      <formula>OR($F$12="NÃO",$F$12="")</formula>
    </cfRule>
  </conditionalFormatting>
  <conditionalFormatting sqref="E49:F49">
    <cfRule type="expression" dxfId="1" priority="3" stopIfTrue="1">
      <formula>$F$12="SIM"</formula>
    </cfRule>
  </conditionalFormatting>
  <conditionalFormatting sqref="E58:F58">
    <cfRule type="expression" dxfId="0" priority="4" stopIfTrue="1">
      <formula>OR($F$12="NÃO",$F$12="")</formula>
    </cfRule>
  </conditionalFormatting>
  <dataValidations count="5">
    <dataValidation type="list" allowBlank="1" showInputMessage="1" showErrorMessage="1" sqref="E21:F21">
      <formula1>$CE$270:$CE$271</formula1>
    </dataValidation>
    <dataValidation type="list" allowBlank="1" showInputMessage="1" showErrorMessage="1" sqref="C10:F10">
      <formula1>$BU$261:$BU$266</formula1>
    </dataValidation>
    <dataValidation type="list" allowBlank="1" showInputMessage="1" showErrorMessage="1" sqref="F12">
      <formula1>"SIM, NÃO"</formula1>
    </dataValidation>
    <dataValidation type="decimal" allowBlank="1" showInputMessage="1" showErrorMessage="1" errorTitle="FORA DO INTERVALO" error="Deve-se adotar valor entre o 1º e 3º quartil" sqref="F36:F40">
      <formula1>C36</formula1>
      <formula2>E36</formula2>
    </dataValidation>
    <dataValidation type="decimal" allowBlank="1" showInputMessage="1" showErrorMessage="1" sqref="F42:F43">
      <formula1>C42</formula1>
      <formula2>E42</formula2>
    </dataValidation>
  </dataValidation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Equation.3" shapeId="5121" r:id="rId3">
          <objectPr defaultSize="0" autoPict="0" r:id="rId4">
            <anchor moveWithCells="1" sizeWithCells="1">
              <from>
                <xdr:col>79</xdr:col>
                <xdr:colOff>0</xdr:colOff>
                <xdr:row>243</xdr:row>
                <xdr:rowOff>0</xdr:rowOff>
              </from>
              <to>
                <xdr:col>79</xdr:col>
                <xdr:colOff>0</xdr:colOff>
                <xdr:row>244</xdr:row>
                <xdr:rowOff>76200</xdr:rowOff>
              </to>
            </anchor>
          </objectPr>
        </oleObject>
      </mc:Choice>
      <mc:Fallback>
        <oleObject progId="Equation.3" shapeId="5121" r:id="rId3"/>
      </mc:Fallback>
    </mc:AlternateContent>
    <mc:AlternateContent xmlns:mc="http://schemas.openxmlformats.org/markup-compatibility/2006">
      <mc:Choice Requires="x14">
        <oleObject progId="Equation.3" shapeId="5122" r:id="rId5">
          <objectPr defaultSize="0" autoPict="0" r:id="rId4">
            <anchor moveWithCells="1" sizeWithCells="1">
              <from>
                <xdr:col>0</xdr:col>
                <xdr:colOff>57150</xdr:colOff>
                <xdr:row>44</xdr:row>
                <xdr:rowOff>0</xdr:rowOff>
              </from>
              <to>
                <xdr:col>5</xdr:col>
                <xdr:colOff>714375</xdr:colOff>
                <xdr:row>47</xdr:row>
                <xdr:rowOff>0</xdr:rowOff>
              </to>
            </anchor>
          </objectPr>
        </oleObject>
      </mc:Choice>
      <mc:Fallback>
        <oleObject progId="Equation.3" shapeId="5122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CRONOGRAMA</vt:lpstr>
      <vt:lpstr>PLANILHA ORÇAMENTÁRIA</vt:lpstr>
      <vt:lpstr>COMPOSIÇÃO</vt:lpstr>
      <vt:lpstr>BDI</vt:lpstr>
      <vt:lpstr>COMPOSIÇÃO!Area_de_impressao</vt:lpstr>
      <vt:lpstr>CRONOGRAMA!Area_de_impressao</vt:lpstr>
      <vt:lpstr>'PLANILHA ORÇAMENTÁRIA'!Area_de_impressao</vt:lpstr>
      <vt:lpstr>COMPOSIÇÃO!Titulos_de_impressao</vt:lpstr>
      <vt:lpstr>CRONOGRAMA!Titulos_de_impressao</vt:lpstr>
      <vt:lpstr>'PLANILHA ORÇAMENTÁRIA'!Titulos_de_impressao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</cp:lastModifiedBy>
  <cp:lastPrinted>2020-08-20T16:17:38Z</cp:lastPrinted>
  <dcterms:created xsi:type="dcterms:W3CDTF">2003-03-13T20:31:18Z</dcterms:created>
  <dcterms:modified xsi:type="dcterms:W3CDTF">2020-08-31T18:32:11Z</dcterms:modified>
</cp:coreProperties>
</file>