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.157\licitação\2020\TOMADA DE PREÇO\TP 004-2020 -PROCESSO 115-2020 CONSTRUÇÃO UNIDADE BASICA - II\PLANILHAS ATUALIZADAS\"/>
    </mc:Choice>
  </mc:AlternateContent>
  <bookViews>
    <workbookView xWindow="0" yWindow="0" windowWidth="19200" windowHeight="11745" tabRatio="930" activeTab="1"/>
  </bookViews>
  <sheets>
    <sheet name="2 SALA(s) - 110V_BLOCOS" sheetId="128" r:id="rId1"/>
    <sheet name="cronograma" sheetId="119" r:id="rId2"/>
  </sheets>
  <definedNames>
    <definedName name="_Fill" localSheetId="0" hidden="1">#REF!</definedName>
    <definedName name="_Fill" hidden="1">#REF!</definedName>
    <definedName name="_xlnm._FilterDatabase" localSheetId="0" hidden="1">'2 SALA(s) - 110V_BLOCOS'!#REF!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CRE" localSheetId="0" hidden="1">#REF!</definedName>
    <definedName name="ACRE" hidden="1">#REF!</definedName>
    <definedName name="ademir" hidden="1">{#N/A,#N/A,FALSE,"Cronograma";#N/A,#N/A,FALSE,"Cronogr. 2"}</definedName>
    <definedName name="_xlnm.Print_Area" localSheetId="0">'2 SALA(s) - 110V_BLOCOS'!$B$1:$J$239</definedName>
    <definedName name="bosta" hidden="1">{#N/A,#N/A,FALSE,"Cronograma";#N/A,#N/A,FALSE,"Cronogr. 2"}</definedName>
    <definedName name="CA´L" hidden="1">{#N/A,#N/A,FALSE,"Cronograma";#N/A,#N/A,FALSE,"Cronogr. 2"}</definedName>
    <definedName name="concorrentes" hidden="1">{#N/A,#N/A,FALSE,"Cronograma";#N/A,#N/A,FALSE,"Cronogr. 2"}</definedName>
    <definedName name="Popular" hidden="1">{#N/A,#N/A,FALSE,"Cronograma";#N/A,#N/A,FALSE,"Cronogr. 2"}</definedName>
    <definedName name="rio" hidden="1">{#N/A,#N/A,FALSE,"Cronograma";#N/A,#N/A,FALSE,"Cronogr. 2"}</definedName>
    <definedName name="SINAPI_AC" localSheetId="0" hidden="1">#REF!</definedName>
    <definedName name="SINAPI_AC" hidden="1">#REF!</definedName>
    <definedName name="ss" hidden="1">{#N/A,#N/A,FALSE,"Cronograma";#N/A,#N/A,FALSE,"Cronogr. 2"}</definedName>
    <definedName name="_xlnm.Print_Titles" localSheetId="0">'2 SALA(s) - 110V_BLOCOS'!$1:$12</definedName>
    <definedName name="wrn.Cronograma." hidden="1">{#N/A,#N/A,FALSE,"Cronograma";#N/A,#N/A,FALSE,"Cronogr. 2"}</definedName>
    <definedName name="wrn.GERAL." hidden="1">{#N/A,#N/A,FALSE,"ET-CAPA";#N/A,#N/A,FALSE,"ET-PAG1";#N/A,#N/A,FALSE,"ET-PAG2";#N/A,#N/A,FALSE,"ET-PAG3";#N/A,#N/A,FALSE,"ET-PAG4";#N/A,#N/A,FALSE,"ET-PAG5"}</definedName>
    <definedName name="wrn.PENDENCIAS.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</definedNames>
  <calcPr calcId="152511"/>
</workbook>
</file>

<file path=xl/calcChain.xml><?xml version="1.0" encoding="utf-8"?>
<calcChain xmlns="http://schemas.openxmlformats.org/spreadsheetml/2006/main">
  <c r="I57" i="128" l="1"/>
  <c r="H19" i="128" l="1"/>
  <c r="G65" i="128" l="1"/>
  <c r="G64" i="128"/>
  <c r="G62" i="128"/>
  <c r="G135" i="128" l="1"/>
  <c r="I128" i="128"/>
  <c r="J128" i="128" s="1"/>
  <c r="I138" i="128"/>
  <c r="J138" i="128" s="1"/>
  <c r="G63" i="128"/>
  <c r="G48" i="128" l="1"/>
  <c r="I231" i="128"/>
  <c r="I227" i="128"/>
  <c r="J227" i="128" s="1"/>
  <c r="I226" i="128"/>
  <c r="J226" i="128" s="1"/>
  <c r="I225" i="128"/>
  <c r="J225" i="128" s="1"/>
  <c r="I224" i="128"/>
  <c r="J224" i="128" s="1"/>
  <c r="I223" i="128"/>
  <c r="I222" i="128"/>
  <c r="J222" i="128" s="1"/>
  <c r="I221" i="128"/>
  <c r="J221" i="128" s="1"/>
  <c r="I220" i="128"/>
  <c r="I219" i="128"/>
  <c r="I218" i="128"/>
  <c r="J218" i="128" s="1"/>
  <c r="I217" i="128"/>
  <c r="J217" i="128" s="1"/>
  <c r="I216" i="128"/>
  <c r="I215" i="128"/>
  <c r="I214" i="128"/>
  <c r="I213" i="128"/>
  <c r="J213" i="128" s="1"/>
  <c r="I212" i="128"/>
  <c r="I211" i="128"/>
  <c r="I210" i="128"/>
  <c r="I209" i="128"/>
  <c r="J209" i="128" s="1"/>
  <c r="I208" i="128"/>
  <c r="J208" i="128" s="1"/>
  <c r="I207" i="128"/>
  <c r="J207" i="128" s="1"/>
  <c r="I206" i="128"/>
  <c r="J206" i="128" s="1"/>
  <c r="I205" i="128"/>
  <c r="J205" i="128" s="1"/>
  <c r="I200" i="128"/>
  <c r="I199" i="128"/>
  <c r="I198" i="128"/>
  <c r="J198" i="128" s="1"/>
  <c r="I197" i="128"/>
  <c r="J197" i="128" s="1"/>
  <c r="I196" i="128"/>
  <c r="J196" i="128" s="1"/>
  <c r="I192" i="128"/>
  <c r="J192" i="128" s="1"/>
  <c r="I191" i="128"/>
  <c r="J191" i="128" s="1"/>
  <c r="I190" i="128"/>
  <c r="J190" i="128" s="1"/>
  <c r="I189" i="128"/>
  <c r="J189" i="128" s="1"/>
  <c r="I188" i="128"/>
  <c r="J188" i="128" s="1"/>
  <c r="I187" i="128"/>
  <c r="J187" i="128" s="1"/>
  <c r="I186" i="128"/>
  <c r="J186" i="128" s="1"/>
  <c r="I182" i="128"/>
  <c r="J182" i="128" s="1"/>
  <c r="I181" i="128"/>
  <c r="J181" i="128" s="1"/>
  <c r="I180" i="128"/>
  <c r="J180" i="128" s="1"/>
  <c r="I179" i="128"/>
  <c r="I178" i="128"/>
  <c r="I177" i="128"/>
  <c r="J177" i="128" s="1"/>
  <c r="I176" i="128"/>
  <c r="J176" i="128" s="1"/>
  <c r="I175" i="128"/>
  <c r="J175" i="128" s="1"/>
  <c r="I174" i="128"/>
  <c r="J174" i="128" s="1"/>
  <c r="I173" i="128"/>
  <c r="J173" i="128" s="1"/>
  <c r="I172" i="128"/>
  <c r="J172" i="128" s="1"/>
  <c r="I171" i="128"/>
  <c r="J171" i="128" s="1"/>
  <c r="I170" i="128"/>
  <c r="J170" i="128" s="1"/>
  <c r="I169" i="128"/>
  <c r="I168" i="128"/>
  <c r="I167" i="128"/>
  <c r="I162" i="128"/>
  <c r="J162" i="128" s="1"/>
  <c r="I161" i="128"/>
  <c r="J161" i="128" s="1"/>
  <c r="I160" i="128"/>
  <c r="J160" i="128" s="1"/>
  <c r="I159" i="128"/>
  <c r="J159" i="128" s="1"/>
  <c r="I158" i="128"/>
  <c r="J158" i="128" s="1"/>
  <c r="I157" i="128"/>
  <c r="J157" i="128" s="1"/>
  <c r="I156" i="128"/>
  <c r="J156" i="128" s="1"/>
  <c r="I155" i="128"/>
  <c r="J155" i="128" s="1"/>
  <c r="I154" i="128"/>
  <c r="J154" i="128" s="1"/>
  <c r="I153" i="128"/>
  <c r="J153" i="128" s="1"/>
  <c r="I152" i="128"/>
  <c r="I151" i="128"/>
  <c r="J151" i="128" s="1"/>
  <c r="I150" i="128"/>
  <c r="J150" i="128" s="1"/>
  <c r="I149" i="128"/>
  <c r="J149" i="128" s="1"/>
  <c r="I148" i="128"/>
  <c r="J148" i="128" s="1"/>
  <c r="I147" i="128"/>
  <c r="J147" i="128" s="1"/>
  <c r="I146" i="128"/>
  <c r="J146" i="128" s="1"/>
  <c r="I145" i="128"/>
  <c r="J145" i="128" s="1"/>
  <c r="I144" i="128"/>
  <c r="I143" i="128"/>
  <c r="I142" i="128"/>
  <c r="I137" i="128"/>
  <c r="I136" i="128"/>
  <c r="I135" i="128"/>
  <c r="J135" i="128" s="1"/>
  <c r="I134" i="128"/>
  <c r="I130" i="128"/>
  <c r="I129" i="128"/>
  <c r="I127" i="128"/>
  <c r="I126" i="128"/>
  <c r="I121" i="128"/>
  <c r="J121" i="128" s="1"/>
  <c r="I120" i="128"/>
  <c r="I119" i="128"/>
  <c r="I118" i="128"/>
  <c r="I117" i="128"/>
  <c r="J117" i="128" s="1"/>
  <c r="I113" i="128"/>
  <c r="I109" i="128"/>
  <c r="J109" i="128" s="1"/>
  <c r="I108" i="128"/>
  <c r="J108" i="128" s="1"/>
  <c r="I107" i="128"/>
  <c r="J107" i="128" s="1"/>
  <c r="I106" i="128"/>
  <c r="I105" i="128"/>
  <c r="I104" i="128"/>
  <c r="I100" i="128"/>
  <c r="J100" i="128" s="1"/>
  <c r="I99" i="128"/>
  <c r="I98" i="128"/>
  <c r="I97" i="128"/>
  <c r="J97" i="128" s="1"/>
  <c r="I96" i="128"/>
  <c r="J96" i="128" s="1"/>
  <c r="I95" i="128"/>
  <c r="I94" i="128"/>
  <c r="I93" i="128"/>
  <c r="I92" i="128"/>
  <c r="J92" i="128" s="1"/>
  <c r="I91" i="128"/>
  <c r="I90" i="128"/>
  <c r="J90" i="128" s="1"/>
  <c r="I89" i="128"/>
  <c r="J89" i="128" s="1"/>
  <c r="I88" i="128"/>
  <c r="J88" i="128" s="1"/>
  <c r="I83" i="128"/>
  <c r="I82" i="128"/>
  <c r="J82" i="128" s="1"/>
  <c r="I77" i="128"/>
  <c r="I76" i="128"/>
  <c r="I75" i="128"/>
  <c r="J75" i="128" s="1"/>
  <c r="I74" i="128"/>
  <c r="I73" i="128"/>
  <c r="I72" i="128"/>
  <c r="I71" i="128"/>
  <c r="I70" i="128"/>
  <c r="I69" i="128"/>
  <c r="I68" i="128"/>
  <c r="I67" i="128"/>
  <c r="I66" i="128"/>
  <c r="I65" i="128"/>
  <c r="J65" i="128" s="1"/>
  <c r="I64" i="128"/>
  <c r="J64" i="128" s="1"/>
  <c r="I63" i="128"/>
  <c r="J63" i="128" s="1"/>
  <c r="I62" i="128"/>
  <c r="J62" i="128" s="1"/>
  <c r="I61" i="128"/>
  <c r="I56" i="128"/>
  <c r="I55" i="128"/>
  <c r="I54" i="128"/>
  <c r="I53" i="128"/>
  <c r="I52" i="128"/>
  <c r="I51" i="128"/>
  <c r="I49" i="128"/>
  <c r="I48" i="128"/>
  <c r="J48" i="128" s="1"/>
  <c r="I47" i="128"/>
  <c r="I46" i="128"/>
  <c r="I45" i="128"/>
  <c r="I44" i="128"/>
  <c r="J44" i="128" s="1"/>
  <c r="I43" i="128"/>
  <c r="I42" i="128"/>
  <c r="I41" i="128"/>
  <c r="I36" i="128"/>
  <c r="I35" i="128"/>
  <c r="I34" i="128"/>
  <c r="I33" i="128"/>
  <c r="I32" i="128"/>
  <c r="I28" i="128"/>
  <c r="I27" i="128"/>
  <c r="J27" i="128" s="1"/>
  <c r="I26" i="128"/>
  <c r="I25" i="128"/>
  <c r="I24" i="128"/>
  <c r="I23" i="128"/>
  <c r="I18" i="128"/>
  <c r="J18" i="128" s="1"/>
  <c r="I17" i="128"/>
  <c r="J17" i="128" s="1"/>
  <c r="I16" i="128"/>
  <c r="J16" i="128" s="1"/>
  <c r="I15" i="128"/>
  <c r="G47" i="128"/>
  <c r="G46" i="128"/>
  <c r="G44" i="128"/>
  <c r="G41" i="128"/>
  <c r="I19" i="128"/>
  <c r="G19" i="128"/>
  <c r="J46" i="128" l="1"/>
  <c r="J19" i="128"/>
  <c r="J41" i="128"/>
  <c r="J47" i="128"/>
  <c r="B56" i="119"/>
  <c r="B55" i="119"/>
  <c r="A14" i="119"/>
  <c r="G215" i="128"/>
  <c r="J215" i="128" s="1"/>
  <c r="G212" i="128"/>
  <c r="J212" i="128" s="1"/>
  <c r="G219" i="128"/>
  <c r="G220" i="128" s="1"/>
  <c r="J220" i="128" s="1"/>
  <c r="G216" i="128"/>
  <c r="J216" i="128" s="1"/>
  <c r="G178" i="128"/>
  <c r="J178" i="128" s="1"/>
  <c r="G199" i="128"/>
  <c r="J199" i="128" s="1"/>
  <c r="G200" i="128"/>
  <c r="J200" i="128" s="1"/>
  <c r="G169" i="128"/>
  <c r="J169" i="128" s="1"/>
  <c r="G168" i="128"/>
  <c r="J168" i="128" s="1"/>
  <c r="G167" i="128"/>
  <c r="J167" i="128" s="1"/>
  <c r="G144" i="128"/>
  <c r="J144" i="128" s="1"/>
  <c r="G143" i="128"/>
  <c r="J143" i="128" s="1"/>
  <c r="G231" i="128"/>
  <c r="J231" i="128" s="1"/>
  <c r="G136" i="128"/>
  <c r="J136" i="128" s="1"/>
  <c r="G134" i="128"/>
  <c r="G137" i="128" s="1"/>
  <c r="J137" i="128" s="1"/>
  <c r="G130" i="128"/>
  <c r="J130" i="128" s="1"/>
  <c r="G104" i="128"/>
  <c r="J104" i="128" s="1"/>
  <c r="J219" i="128" l="1"/>
  <c r="J134" i="128"/>
  <c r="G211" i="128"/>
  <c r="J211" i="128" s="1"/>
  <c r="G126" i="128"/>
  <c r="G118" i="128"/>
  <c r="G105" i="128"/>
  <c r="J105" i="128" s="1"/>
  <c r="G99" i="128"/>
  <c r="J99" i="128" s="1"/>
  <c r="G95" i="128"/>
  <c r="J95" i="128" s="1"/>
  <c r="G93" i="128"/>
  <c r="J93" i="128" s="1"/>
  <c r="G77" i="128"/>
  <c r="J77" i="128" s="1"/>
  <c r="G42" i="128"/>
  <c r="G36" i="128"/>
  <c r="J36" i="128" s="1"/>
  <c r="G35" i="128"/>
  <c r="J35" i="128" s="1"/>
  <c r="G34" i="128"/>
  <c r="J34" i="128" s="1"/>
  <c r="Q34" i="128"/>
  <c r="G32" i="128"/>
  <c r="J32" i="128" s="1"/>
  <c r="G26" i="128"/>
  <c r="J26" i="128" s="1"/>
  <c r="G24" i="128"/>
  <c r="G53" i="128" l="1"/>
  <c r="J53" i="128" s="1"/>
  <c r="G72" i="128"/>
  <c r="J72" i="128" s="1"/>
  <c r="G68" i="128"/>
  <c r="J68" i="128" s="1"/>
  <c r="G71" i="128"/>
  <c r="J71" i="128" s="1"/>
  <c r="G45" i="128"/>
  <c r="J45" i="128" s="1"/>
  <c r="J42" i="128"/>
  <c r="G120" i="128"/>
  <c r="J120" i="128" s="1"/>
  <c r="J118" i="128"/>
  <c r="G25" i="128"/>
  <c r="J25" i="128" s="1"/>
  <c r="J24" i="128"/>
  <c r="G127" i="128"/>
  <c r="J127" i="128" s="1"/>
  <c r="J126" i="128"/>
  <c r="G69" i="128"/>
  <c r="J69" i="128" s="1"/>
  <c r="G52" i="128"/>
  <c r="J52" i="128" s="1"/>
  <c r="G70" i="128"/>
  <c r="J70" i="128" s="1"/>
  <c r="G73" i="128"/>
  <c r="J73" i="128" s="1"/>
  <c r="G55" i="128"/>
  <c r="J55" i="128" s="1"/>
  <c r="G54" i="128"/>
  <c r="J54" i="128" s="1"/>
  <c r="G66" i="128"/>
  <c r="J66" i="128" s="1"/>
  <c r="G83" i="128"/>
  <c r="J83" i="128" s="1"/>
  <c r="G51" i="128"/>
  <c r="J51" i="128" s="1"/>
  <c r="G23" i="128"/>
  <c r="J23" i="128" s="1"/>
  <c r="Q35" i="128"/>
  <c r="G56" i="128"/>
  <c r="G106" i="128"/>
  <c r="J106" i="128" s="1"/>
  <c r="G113" i="128"/>
  <c r="J113" i="128" s="1"/>
  <c r="G49" i="128"/>
  <c r="J49" i="128" s="1"/>
  <c r="G119" i="128"/>
  <c r="J119" i="128" s="1"/>
  <c r="G43" i="128"/>
  <c r="J43" i="128" s="1"/>
  <c r="G33" i="128"/>
  <c r="J33" i="128" s="1"/>
  <c r="I204" i="128"/>
  <c r="I166" i="128"/>
  <c r="I125" i="128"/>
  <c r="I87" i="128"/>
  <c r="I81" i="128"/>
  <c r="I50" i="128"/>
  <c r="G57" i="128" l="1"/>
  <c r="J57" i="128" s="1"/>
  <c r="J56" i="128"/>
  <c r="J58" i="128" s="1"/>
  <c r="G28" i="128"/>
  <c r="J28" i="128" s="1"/>
  <c r="R35" i="128"/>
  <c r="J29" i="128" l="1"/>
  <c r="J22" i="128" s="1"/>
  <c r="C14" i="119" s="1"/>
  <c r="E15" i="119" s="1"/>
  <c r="A46" i="119" l="1"/>
  <c r="A44" i="119"/>
  <c r="A42" i="119"/>
  <c r="A40" i="119"/>
  <c r="A38" i="119"/>
  <c r="A36" i="119"/>
  <c r="A34" i="119"/>
  <c r="A32" i="119"/>
  <c r="A30" i="119"/>
  <c r="A28" i="119"/>
  <c r="A26" i="119"/>
  <c r="A24" i="119"/>
  <c r="A22" i="119"/>
  <c r="A20" i="119"/>
  <c r="A18" i="119"/>
  <c r="A16" i="119"/>
  <c r="A12" i="119"/>
  <c r="B5" i="128"/>
  <c r="B8" i="128" l="1"/>
  <c r="B7" i="128"/>
  <c r="J139" i="128"/>
  <c r="J15" i="128"/>
  <c r="J110" i="128" l="1"/>
  <c r="J228" i="128"/>
  <c r="J163" i="128"/>
  <c r="J201" i="128"/>
  <c r="J101" i="128"/>
  <c r="J232" i="128"/>
  <c r="J230" i="128" s="1"/>
  <c r="C46" i="119" s="1"/>
  <c r="G47" i="119" l="1"/>
  <c r="H47" i="119"/>
  <c r="J103" i="128"/>
  <c r="C26" i="119" s="1"/>
  <c r="J84" i="128"/>
  <c r="J80" i="128" s="1"/>
  <c r="C22" i="119" s="1"/>
  <c r="J20" i="128"/>
  <c r="J37" i="128"/>
  <c r="J31" i="128" s="1"/>
  <c r="J39" i="128"/>
  <c r="J195" i="128"/>
  <c r="C42" i="119" s="1"/>
  <c r="J203" i="128"/>
  <c r="C44" i="119" s="1"/>
  <c r="J114" i="128"/>
  <c r="J112" i="128" s="1"/>
  <c r="C28" i="119" s="1"/>
  <c r="J133" i="128"/>
  <c r="C34" i="119" s="1"/>
  <c r="J183" i="128"/>
  <c r="J165" i="128" s="1"/>
  <c r="J131" i="128"/>
  <c r="J124" i="128" s="1"/>
  <c r="C32" i="119" s="1"/>
  <c r="J122" i="128"/>
  <c r="J116" i="128" s="1"/>
  <c r="C30" i="119" s="1"/>
  <c r="J78" i="128"/>
  <c r="J60" i="128" s="1"/>
  <c r="C20" i="119" s="1"/>
  <c r="J86" i="128"/>
  <c r="C24" i="119" s="1"/>
  <c r="J193" i="128"/>
  <c r="J185" i="128" s="1"/>
  <c r="C40" i="119" s="1"/>
  <c r="C38" i="119" l="1"/>
  <c r="J14" i="128"/>
  <c r="C16" i="119"/>
  <c r="E17" i="119" s="1"/>
  <c r="C18" i="119"/>
  <c r="E19" i="119" s="1"/>
  <c r="C12" i="119" l="1"/>
  <c r="E13" i="119" s="1"/>
  <c r="J141" i="128"/>
  <c r="J234" i="128" s="1"/>
  <c r="C36" i="119" l="1"/>
  <c r="F19" i="119" l="1"/>
  <c r="E29" i="119"/>
  <c r="E49" i="119" s="1"/>
  <c r="F23" i="119" l="1"/>
  <c r="G23" i="119"/>
  <c r="F39" i="119"/>
  <c r="H39" i="119"/>
  <c r="G39" i="119"/>
  <c r="G21" i="119"/>
  <c r="F21" i="119"/>
  <c r="H35" i="119"/>
  <c r="F31" i="119"/>
  <c r="G31" i="119"/>
  <c r="G43" i="119"/>
  <c r="F43" i="119"/>
  <c r="H37" i="119"/>
  <c r="G37" i="119"/>
  <c r="F37" i="119"/>
  <c r="F33" i="119"/>
  <c r="G33" i="119"/>
  <c r="H45" i="119"/>
  <c r="G45" i="119"/>
  <c r="F27" i="119" l="1"/>
  <c r="G27" i="119"/>
  <c r="G25" i="119" l="1"/>
  <c r="F25" i="119"/>
  <c r="F41" i="119" l="1"/>
  <c r="F49" i="119" s="1"/>
  <c r="H41" i="119"/>
  <c r="H49" i="119" s="1"/>
  <c r="G41" i="119"/>
  <c r="G49" i="119" s="1"/>
  <c r="C49" i="119"/>
  <c r="D14" i="119" s="1"/>
  <c r="D22" i="119" l="1"/>
  <c r="D16" i="119"/>
  <c r="D38" i="119"/>
  <c r="D26" i="119"/>
  <c r="D20" i="119"/>
  <c r="D28" i="119"/>
  <c r="D18" i="119"/>
  <c r="D30" i="119"/>
  <c r="D36" i="119"/>
  <c r="D34" i="119"/>
  <c r="D44" i="119"/>
  <c r="D46" i="119"/>
  <c r="D42" i="119"/>
  <c r="D32" i="119"/>
  <c r="D12" i="119"/>
  <c r="E50" i="119"/>
  <c r="E51" i="119" s="1"/>
  <c r="D24" i="119"/>
  <c r="D40" i="119"/>
  <c r="H50" i="119"/>
  <c r="G50" i="119"/>
  <c r="F50" i="119"/>
  <c r="F51" i="119" l="1"/>
  <c r="G51" i="119" s="1"/>
  <c r="H51" i="119" s="1"/>
</calcChain>
</file>

<file path=xl/sharedStrings.xml><?xml version="1.0" encoding="utf-8"?>
<sst xmlns="http://schemas.openxmlformats.org/spreadsheetml/2006/main" count="731" uniqueCount="387">
  <si>
    <t>11.1</t>
  </si>
  <si>
    <t>11.4</t>
  </si>
  <si>
    <t>12.1</t>
  </si>
  <si>
    <t>12.2</t>
  </si>
  <si>
    <t>13.2</t>
  </si>
  <si>
    <t>14.1</t>
  </si>
  <si>
    <t>17.1</t>
  </si>
  <si>
    <t>SERVIÇOS FINAIS</t>
  </si>
  <si>
    <t>VIDROS</t>
  </si>
  <si>
    <t>11.3</t>
  </si>
  <si>
    <t>13.1</t>
  </si>
  <si>
    <t>CENTRO DE DISTRIBUIÇÃO</t>
  </si>
  <si>
    <t>ELETRODUTOS E ACESSÓRIOS</t>
  </si>
  <si>
    <t>15.1</t>
  </si>
  <si>
    <t>15.2</t>
  </si>
  <si>
    <t>15.3</t>
  </si>
  <si>
    <t>ITEM</t>
  </si>
  <si>
    <t>CÓDIGO</t>
  </si>
  <si>
    <t>FONTE</t>
  </si>
  <si>
    <t>DESCRIÇÃO DOS SERVIÇOS</t>
  </si>
  <si>
    <t>QUANT.</t>
  </si>
  <si>
    <t>VALOR (R$)</t>
  </si>
  <si>
    <t>1.1</t>
  </si>
  <si>
    <t>un</t>
  </si>
  <si>
    <t>2.1</t>
  </si>
  <si>
    <t>3.1</t>
  </si>
  <si>
    <t>m³</t>
  </si>
  <si>
    <t>4.1</t>
  </si>
  <si>
    <t>m²</t>
  </si>
  <si>
    <t>5.1</t>
  </si>
  <si>
    <t>kg</t>
  </si>
  <si>
    <t>6.1</t>
  </si>
  <si>
    <t>m</t>
  </si>
  <si>
    <t>3.2</t>
  </si>
  <si>
    <t>7.1</t>
  </si>
  <si>
    <t>8.1</t>
  </si>
  <si>
    <t>1.2</t>
  </si>
  <si>
    <t>SEINFRA</t>
  </si>
  <si>
    <t>1.3</t>
  </si>
  <si>
    <t>1.4</t>
  </si>
  <si>
    <t>1.5</t>
  </si>
  <si>
    <t>2.2</t>
  </si>
  <si>
    <t>2.3</t>
  </si>
  <si>
    <t>2.4</t>
  </si>
  <si>
    <t>ALVENARIA DE VEDAÇÃO</t>
  </si>
  <si>
    <t>6.2</t>
  </si>
  <si>
    <t>9.1</t>
  </si>
  <si>
    <t>9.3</t>
  </si>
  <si>
    <t>9.4</t>
  </si>
  <si>
    <t>10.1</t>
  </si>
  <si>
    <t>10.2</t>
  </si>
  <si>
    <t>CONCRETO ARMADO - PILARES</t>
  </si>
  <si>
    <t>CONCRETO ARMADO - VIGAS</t>
  </si>
  <si>
    <t>PORTAS DE MADEIRA</t>
  </si>
  <si>
    <t>6.3</t>
  </si>
  <si>
    <t>6.4</t>
  </si>
  <si>
    <t>PAVIMENTAÇÃO EXTERNA</t>
  </si>
  <si>
    <t>7.4</t>
  </si>
  <si>
    <t>FERRAGENS E ACESSÓRIOS</t>
  </si>
  <si>
    <t>FUNDAÇÕES</t>
  </si>
  <si>
    <t>SISTEMA DE PROTEÇÃO CONTRA INCÊNDIO</t>
  </si>
  <si>
    <t xml:space="preserve">Subtotal </t>
  </si>
  <si>
    <t>14.5</t>
  </si>
  <si>
    <t>14.6</t>
  </si>
  <si>
    <t>14.7</t>
  </si>
  <si>
    <t>14.8</t>
  </si>
  <si>
    <t>16.1</t>
  </si>
  <si>
    <t>16.2</t>
  </si>
  <si>
    <t>16.3</t>
  </si>
  <si>
    <t>16.4</t>
  </si>
  <si>
    <t>74125/2</t>
  </si>
  <si>
    <t>9.2</t>
  </si>
  <si>
    <t>9.5</t>
  </si>
  <si>
    <t>11.2</t>
  </si>
  <si>
    <t>14.3</t>
  </si>
  <si>
    <t>14.4</t>
  </si>
  <si>
    <t>% ITEM</t>
  </si>
  <si>
    <t>Valores totais</t>
  </si>
  <si>
    <t>4.1.1</t>
  </si>
  <si>
    <t>4.1.2</t>
  </si>
  <si>
    <t>4.1.3</t>
  </si>
  <si>
    <t>4.1.4</t>
  </si>
  <si>
    <t>5.1.1</t>
  </si>
  <si>
    <t>5.1.2</t>
  </si>
  <si>
    <t>6.1.1</t>
  </si>
  <si>
    <t>6.1.2</t>
  </si>
  <si>
    <t>6.1.3</t>
  </si>
  <si>
    <t>6.2.1</t>
  </si>
  <si>
    <t>6.2.2</t>
  </si>
  <si>
    <t>6.3.1</t>
  </si>
  <si>
    <t>10.1.1</t>
  </si>
  <si>
    <t>10.1.2</t>
  </si>
  <si>
    <t>10.2.1</t>
  </si>
  <si>
    <t>IMPERMEABILIZAÇÃO</t>
  </si>
  <si>
    <t>12.1.1</t>
  </si>
  <si>
    <t>12.1.2</t>
  </si>
  <si>
    <t>12.2.1</t>
  </si>
  <si>
    <t>12.2.2</t>
  </si>
  <si>
    <t>12.2.3</t>
  </si>
  <si>
    <t>12.2.4</t>
  </si>
  <si>
    <t>13.1.1</t>
  </si>
  <si>
    <t>13.1.2</t>
  </si>
  <si>
    <t>13.1.3</t>
  </si>
  <si>
    <t>13.1.4</t>
  </si>
  <si>
    <t>13.1.5</t>
  </si>
  <si>
    <t>13.1.6</t>
  </si>
  <si>
    <t>13.2.1</t>
  </si>
  <si>
    <t>13.2.2</t>
  </si>
  <si>
    <t>13.2.3</t>
  </si>
  <si>
    <t>SERVIÇOS PRELIMINARES</t>
  </si>
  <si>
    <t>SUPERESTRUTURA</t>
  </si>
  <si>
    <t>ESQUADRIAS</t>
  </si>
  <si>
    <t>PAVIMENTAÇÃO INTERNA</t>
  </si>
  <si>
    <t>12.1.3</t>
  </si>
  <si>
    <t>12.1.4</t>
  </si>
  <si>
    <t>12.1.5</t>
  </si>
  <si>
    <t>12.1.6</t>
  </si>
  <si>
    <t>12.1.7</t>
  </si>
  <si>
    <t>12.1.8</t>
  </si>
  <si>
    <t>12.1.9</t>
  </si>
  <si>
    <t>Piso cimentado desempenado traço 1:3 (cimento e areia), espessura 3cm</t>
  </si>
  <si>
    <t>Joelho PVC 45º soldável Ø 25mm, fornecimento e instalação</t>
  </si>
  <si>
    <t>Joelho PVC 90º soldável Ø 25mm, fornecimento e instalação</t>
  </si>
  <si>
    <t>Joelho PVC 90º soldável Ø 40mm, fornecimento e instalação</t>
  </si>
  <si>
    <t>Tubo de PVC Série Normal Ø 100mm, fornecimento e instalação</t>
  </si>
  <si>
    <t>Tubo de PVC Série Normal Ø 40mm, fornecimento e instalação</t>
  </si>
  <si>
    <t>Tubo de PVC Série Normal Ø 50mm, fornecimento e instalação</t>
  </si>
  <si>
    <t>Joelho PVC 45º Ø 40mm, fornecimento e instalação</t>
  </si>
  <si>
    <t>Joelho PVC 90º Ø 40mm, fornecimento e instalação</t>
  </si>
  <si>
    <t>CONCRETO ARMADO - LAJES DE FORRO</t>
  </si>
  <si>
    <t>Laje de concreto pré-moldada para forro com escoramento</t>
  </si>
  <si>
    <t>CONCRETO ARMADO - VERGAS E CONTRAVERGAS</t>
  </si>
  <si>
    <t>Chapisco em teto com argamassa traço 1:4 (cimento e areia)</t>
  </si>
  <si>
    <t>SISTEMAS DE COBERTURA</t>
  </si>
  <si>
    <t>CONCRETO ARMADO - VIGAS BALDRAMES</t>
  </si>
  <si>
    <t>MOVIMENTO DE TERRA PARA FUNDAÇÕES</t>
  </si>
  <si>
    <t>Lastro de concreto não-estrutural, espessura 5cm</t>
  </si>
  <si>
    <t>Contrapiso de concreto não-estrutural, espessura 5cm e preparo mecânico</t>
  </si>
  <si>
    <t>Tubo PVC soldável Ø 25mm, fornecimento e instalação</t>
  </si>
  <si>
    <t>Tê PVC soldável Ø 25mm, fornecimento e instalação</t>
  </si>
  <si>
    <t>Tê PVC soldável Ø 40mm, fornecimento e instalação</t>
  </si>
  <si>
    <t>Chapisco em parede com argamassa traço 1:3 (cimento e areia)</t>
  </si>
  <si>
    <t>Disjuntor termomagnético monopolar 16A, fornecimento e instalação</t>
  </si>
  <si>
    <t>Torneira de boia Ø 25mm, fornecimento e instalação</t>
  </si>
  <si>
    <t>Joelho PVC 45º Ø 100mm, fornecimento e instalação</t>
  </si>
  <si>
    <t>UN.</t>
  </si>
  <si>
    <t>REGISTROS E OUTROS</t>
  </si>
  <si>
    <t>CABOS E FIOS CONDUTORES</t>
  </si>
  <si>
    <t>Tubo PVC soldável Ø 40mm, fornecimento e instalação</t>
  </si>
  <si>
    <t>Encunhamento (aperto de alvenaria) com tijolos cerâmicos maciços 5,7x9x19cm em ½ vez (espessura 9cm); assentamento com argamassa traço 1:2 (cimento e areia)</t>
  </si>
  <si>
    <t>Concreto Bombeado fck= 25MPa; incluindo preparo, lançamento e adensamento</t>
  </si>
  <si>
    <t>Verga e contraverga pré-moldada fck= 20MPa, seção 10x10cm</t>
  </si>
  <si>
    <t>PM1 - Porta de madeira para pintura, semi-oca (leve ou média), dimensões 80x210cm, espessura 3,5cm; incluso dobradiças, batentes e fechadura</t>
  </si>
  <si>
    <t>Pintura em látex PVA sobre teto, 2 demãos</t>
  </si>
  <si>
    <t>Pintura em látex acrílico sobre paredes internas, 2 demãos</t>
  </si>
  <si>
    <t>Pintura em esmalte sintético acetinado sobre esquadrias de madeira, 2 demãos</t>
  </si>
  <si>
    <t>PINTURAS E ACABAMENTOS</t>
  </si>
  <si>
    <t>REVESTIMENTOS INTERNO E EXTERNO</t>
  </si>
  <si>
    <t>ILUMINAÇÃO, TOMADAS E INTERRUPTORES</t>
  </si>
  <si>
    <t>SISTEMAS DE VEDAÇÃO VERTICAL</t>
  </si>
  <si>
    <t>LOUÇAS, ACESSÓRIOS E METAIS</t>
  </si>
  <si>
    <t>SISTEMAS DE PISOS</t>
  </si>
  <si>
    <t>Chapa metálica plana resistente a impactos 14GSG 1,95mm; nas portas PM1 e PM3</t>
  </si>
  <si>
    <t>INSTALAÇÃO HIDRÁULICA</t>
  </si>
  <si>
    <t>INSTALAÇÃO SANITÁRIA</t>
  </si>
  <si>
    <t>Escavação manual de valas em qualquer terreno exceto rocha até h= 2,0m</t>
  </si>
  <si>
    <t>Regularização e compactação do fundo de valas</t>
  </si>
  <si>
    <t>Reaterro apiloado de vala com material da obra</t>
  </si>
  <si>
    <t>Peças de apoio para PNE em aço inox para WC, nas portas PM1 e PM3</t>
  </si>
  <si>
    <t>Disjuntor termomagnético monopolar 10A, fornecimento e instalação</t>
  </si>
  <si>
    <t>Eletroduto PVC flexível corrugado reforçado Ø 25mm, fornecimento e instalação</t>
  </si>
  <si>
    <t>Luminária de emergência com 30 LED, fornecimento e instalação</t>
  </si>
  <si>
    <t>Caixa Sifonada 100x100x50mm, fornecimento e instalação</t>
  </si>
  <si>
    <t>Revestimento cerâmico com placas de dimensões 30x40cm aplicadas à meia altura das paredes</t>
  </si>
  <si>
    <t>Espelho cristal com moldura em alumínio e compensado plastificado, espessura 4mm</t>
  </si>
  <si>
    <t>Impermeabilização de superfície com tinta betuminosa em fundações, 2 demãos</t>
  </si>
  <si>
    <t>Cuba de embutir em aço Inoxidável completa, dimensões 40x34x17cm</t>
  </si>
  <si>
    <t>Bacia Sanitária Convencional em louça branca, fornecimento e instalação</t>
  </si>
  <si>
    <t>Lavatório Pequeno Ravena/Izy cor Branco Gelo, código L.915; DECA ou equivalente</t>
  </si>
  <si>
    <t>Torneira para cozinha de mesa bica móvel Izy, código 1167.C37; DECA ou equivalente</t>
  </si>
  <si>
    <t>Torneira para lavatório de mesa bica baixa Izy, código 1193.C37; DECA ou equivalente</t>
  </si>
  <si>
    <t>Papeleira Metálica Linha Izy, código 2020.C37, DECA ou equivalente; fornecimento e instalação</t>
  </si>
  <si>
    <t>Assento plástico Izy, código AP.01, DECA ou equivalente; fornecimento e instalação</t>
  </si>
  <si>
    <t>Caixa de inspeção em alvenaria 90x90x60cm</t>
  </si>
  <si>
    <t>Ralo Seco PVC rígido 100mm x 40mm, fornecimento e instalação</t>
  </si>
  <si>
    <t>TUBULAÇÕES E CONEXÕES DE PVC</t>
  </si>
  <si>
    <t>CAIXAS E ACESSÓRIOS</t>
  </si>
  <si>
    <t>13.1.7</t>
  </si>
  <si>
    <t>13.1.8</t>
  </si>
  <si>
    <t>13.1.9</t>
  </si>
  <si>
    <t>13.1.10</t>
  </si>
  <si>
    <t>Extintor PQS (ABC) 6kg, fornecimento e instalação</t>
  </si>
  <si>
    <t>Extintor CO2 (BC) 6kg, fornecimento e instalação</t>
  </si>
  <si>
    <t>Tomada universal 2P+T 15A/250V com suporte e placa, fornecimento e instalação</t>
  </si>
  <si>
    <t>Interruptor simples 1 tecla 10A/250V com suporte e placa, fornecimento e instalação</t>
  </si>
  <si>
    <t>Armação de aço CA-60 Ø 5,0mm; incluso fornecimento, corte, dobra e colocação</t>
  </si>
  <si>
    <t>Armação de aço CA-50 Ø 8mm; incluso fornecimento, corte, dobra e colocação</t>
  </si>
  <si>
    <t>Armação de aço CA-50 Ø 10mm; incluso fornecimento, corte, dobra e colocação</t>
  </si>
  <si>
    <t>Armação de aço CA-50 Ø 6,3mm; incluso fornecimento, corte, dobra e colocação</t>
  </si>
  <si>
    <t>Alvenaria de vedação com blocos cerâmicos 9x19x39cm em ½ vez; assentamento com argamassa traço 1:2:8 (cimento, cal e areia)</t>
  </si>
  <si>
    <t>PLANEJAMENTO</t>
  </si>
  <si>
    <t>CUSTO (R$)</t>
  </si>
  <si>
    <t>PREÇO (R$)</t>
  </si>
  <si>
    <t>Valor TOTAL com BDI</t>
  </si>
  <si>
    <t>INSTALAÇÃO ELÉTRICA - 110V</t>
  </si>
  <si>
    <t>Disjuntor termomagnético bipolar 50A, fornecimento e instalação</t>
  </si>
  <si>
    <t>Placa de obra em chapa zincada, instalada</t>
  </si>
  <si>
    <t>Limpeza geral</t>
  </si>
  <si>
    <t>Barracão provisório para depósito - 14m²</t>
  </si>
  <si>
    <t>SINAPI</t>
  </si>
  <si>
    <t>PREFEITURA DE MUNICIPAL DE CORGUINHO</t>
  </si>
  <si>
    <r>
      <t>Município</t>
    </r>
    <r>
      <rPr>
        <sz val="10"/>
        <rFont val="Arial"/>
        <family val="2"/>
      </rPr>
      <t>: Corguinho/MS</t>
    </r>
  </si>
  <si>
    <r>
      <t>Endereço</t>
    </r>
    <r>
      <rPr>
        <sz val="10"/>
        <rFont val="Arial"/>
        <family val="2"/>
      </rPr>
      <t xml:space="preserve">: </t>
    </r>
  </si>
  <si>
    <t>PM2 - Porta de madeira para pintura, semi-oca (leve ou média), dimensões 90x210cm, espessura 3,5cm; incluso dobradiças, batentes e fechadura</t>
  </si>
  <si>
    <t>PM3 - Porta de madeira para pintura, semi-oca (leve ou média), dimensões 60x210cm, espessura 3,5cm; incluso dobradiças, batentes e fechadura</t>
  </si>
  <si>
    <t>Cobertura em telha fibrocimento esp 6 mm, inclinação de 30%</t>
  </si>
  <si>
    <t>Cumeeira com telha fibrocimento esp 6 mm</t>
  </si>
  <si>
    <t>16.1.1</t>
  </si>
  <si>
    <t>16.1.2</t>
  </si>
  <si>
    <t>16.1.3</t>
  </si>
  <si>
    <t>16.1.4</t>
  </si>
  <si>
    <t>16.1.5</t>
  </si>
  <si>
    <t>16.2.1</t>
  </si>
  <si>
    <t>16.2.2</t>
  </si>
  <si>
    <t>16.2.3</t>
  </si>
  <si>
    <t>16.3.1</t>
  </si>
  <si>
    <t>16.3.2</t>
  </si>
  <si>
    <t>16.4.1</t>
  </si>
  <si>
    <t>16.4.2</t>
  </si>
  <si>
    <t>16.4.4</t>
  </si>
  <si>
    <t>Vidro temperado incolor, espessura 10mm, fornecimento e instalação, inclusive massa para vedeção</t>
  </si>
  <si>
    <t>AMPLIAÇÃO</t>
  </si>
  <si>
    <t>PORTAS DE VIDRO DUAS FOLHAS</t>
  </si>
  <si>
    <t>PORTA VIDRO TEMPERADO INCOLOR, 2 FOLHAS DE CORRER, E = 10 MM</t>
  </si>
  <si>
    <t>6.3.2</t>
  </si>
  <si>
    <t>6.3.3</t>
  </si>
  <si>
    <t>MOLA HIDRAULICA DE PISO PARA PORTA DE VIDRO TEMPERADO</t>
  </si>
  <si>
    <t>JOGO DE FERRAGENS CROMADAS PARA PORTA DE VIDRO TEMPERADO</t>
  </si>
  <si>
    <t>6.4.1</t>
  </si>
  <si>
    <t>6.4.2</t>
  </si>
  <si>
    <t>TRAMA DE AÇO COMPOSTA POR TERÇAS PARA TELHADOS DE ATÉ 2 ÁGUAS PARA TELHA ONDULADA DE FIBROCIMENTO, METÁLICA, PLÁSTICA OU TERMOACÚSTICA, INCLUSO TRANSPORTE VERTICAL</t>
  </si>
  <si>
    <t>7.2</t>
  </si>
  <si>
    <t>7.3</t>
  </si>
  <si>
    <t>Caixa d'água em fibra de vidro, capacidade 1000L, fornecimento e instalação</t>
  </si>
  <si>
    <t>15.4</t>
  </si>
  <si>
    <t>15.5</t>
  </si>
  <si>
    <t>PLACA DE ACRILICO TRANSPARENTE ADESIVADA PARA SINALIZACAO DE PORTAS, BORDA POLIDA, DE *25 X 8*, E = 6 MM (NAO INCLUI ACESSORIOS PARA FIXACAO)</t>
  </si>
  <si>
    <t>PLACA DE ACRILICO TRANSPARENTE ADESIVADA PARA SINALIZACAO DE EMERGÊNCIA, BORDA POLIDA, DE *25 X 8*, E = 6 MM (NAO INCLUI ACESSORIOS PARA FIXACAO)</t>
  </si>
  <si>
    <t>Cotovelo PVC 100mm x 90mm, fornecimento e instalação</t>
  </si>
  <si>
    <t>Luva PVC 100mm, fornecimento e instalação</t>
  </si>
  <si>
    <t>Junção PVC simples 100mm x 50mm, fornecimento e instalação</t>
  </si>
  <si>
    <t>Joelho PVC 90mm x 50mm, fornecimento e instalação</t>
  </si>
  <si>
    <t>Joelho PVC 45º Ø 90mm x 50mm, fornecimento e instalação</t>
  </si>
  <si>
    <t>Anel de vedação 100mm, fornecimento e instalação</t>
  </si>
  <si>
    <t>Cotovelo L/R 25mm x 1/2 de 3/4, fornecimento e instalação</t>
  </si>
  <si>
    <t>Registro de gaveta bruto Ø 3/4", fornecimento e instalação</t>
  </si>
  <si>
    <t>Registro de presão bruto Ø 3/4", fornecimento e instalação</t>
  </si>
  <si>
    <t>Adaptador 3/4 para registro, fornecimento e instalação</t>
  </si>
  <si>
    <t>Adaptador de rosca 3/4 para registro, fornecimento e instalação</t>
  </si>
  <si>
    <t>Curva PVC 45º Ø 3/4, fornecimento e instalação</t>
  </si>
  <si>
    <t>Tubo de Cola de 1 Litro</t>
  </si>
  <si>
    <t>Tubo de solução limpadora 1 Litro</t>
  </si>
  <si>
    <t>Folha de Lixa</t>
  </si>
  <si>
    <t>Veda Rosca, Fita Teflon</t>
  </si>
  <si>
    <t>Quadro de distribuição de energia para 24 disjuntores, fornecimento e instalação</t>
  </si>
  <si>
    <t>Disjuntor termomagnético bipolar 20A, fornecimento e instalação</t>
  </si>
  <si>
    <t>Cabo de cobre flexível, isolado, seção de 2,5mm²; anti-chama 450/750V azul</t>
  </si>
  <si>
    <t>Cabo de cobre flexível, isolado, seção de 2,5mm²; anti-chama 450/750V vermelho</t>
  </si>
  <si>
    <t>Cabo de cobre flexível, isolado, seção de 10mm²; anti-chama 450/750V preto</t>
  </si>
  <si>
    <t>Cabo de cobre flexível, isolado, seção de 10mm²; anti-chama 450/750V Azul</t>
  </si>
  <si>
    <t>Cabo de cobre flexível, isolado, seção de 1,5mm²; anti-chama 450/750V branco</t>
  </si>
  <si>
    <t>Cabo de cobre flexível, isolado, seção de 1,5mm²; anti-chama 450/750V amarelo</t>
  </si>
  <si>
    <t>Cabo de cobre flexível, isolado, seção de 6mm²; anti-chama 450/750V amarelo</t>
  </si>
  <si>
    <t>Cabo de cobre flexível, isolado, seção de 6mm²; anti-chama 450/750V Branco</t>
  </si>
  <si>
    <t>Caixa de passagem PVC 4x2" com tampa parafusada, fornecimento e instalação</t>
  </si>
  <si>
    <t>Roldana Media</t>
  </si>
  <si>
    <t>Rolo de Fita Isolante</t>
  </si>
  <si>
    <t>13.1.11</t>
  </si>
  <si>
    <t>13.1.12</t>
  </si>
  <si>
    <t>12.2.5</t>
  </si>
  <si>
    <t>12.2.6</t>
  </si>
  <si>
    <t>12.2.7</t>
  </si>
  <si>
    <t>12.2.8</t>
  </si>
  <si>
    <t>12.2.9</t>
  </si>
  <si>
    <t>12.2.10</t>
  </si>
  <si>
    <t>16.3.4</t>
  </si>
  <si>
    <t>16.3.5</t>
  </si>
  <si>
    <t>16.3.6</t>
  </si>
  <si>
    <t>16.3.7</t>
  </si>
  <si>
    <t>16.3.8</t>
  </si>
  <si>
    <t>16.3.9</t>
  </si>
  <si>
    <t>16.4.3</t>
  </si>
  <si>
    <t>74131/005</t>
  </si>
  <si>
    <t>74130/003</t>
  </si>
  <si>
    <t>ENCARGOS SOCIAIS DESONERADOS: 85,06%(HORA) 48,04%(MÊS)</t>
  </si>
  <si>
    <t>DATA BASE - NOVEMBRO/2019 - COM DESONERAÇÃO</t>
  </si>
  <si>
    <t>Locação convencional de obra, utilizando gabarito de tábua corridas pontaletadas a acada 2,00 metros</t>
  </si>
  <si>
    <t xml:space="preserve">m </t>
  </si>
  <si>
    <t>Areia para aterro - Posto Jazida/Fornecedor (retirado na jazida, sem transporte)</t>
  </si>
  <si>
    <t>2.5</t>
  </si>
  <si>
    <t>m3 x km</t>
  </si>
  <si>
    <t>Transporte com caminhão basculante de 6 m³, em via urbana em leito naturak (unidae : m³ x km) - DMT 10 Km</t>
  </si>
  <si>
    <t>CONSTRUÇÃO DA ESF</t>
  </si>
  <si>
    <t>Obra: Construção da ESF</t>
  </si>
  <si>
    <t>Data de preço: Novembro/2019 - Com Desoneração</t>
  </si>
  <si>
    <t>Estaca broca de concreto, diâmtro de 30 cm, profundidade de até 3m, escavação manual com trado concha, não armada.</t>
  </si>
  <si>
    <t>Concretagem de pilares, Fck = 25 MPA, com uso de baldes em edificações com seção média de pilares menor ou igual a 0,25 m2 - lançamento, adensamento e acabamento</t>
  </si>
  <si>
    <t>ARMAÇÃO DE PILAR OU VIGA DE UMA ESTRUTURA CONVENCIONAL DE CONCRETO ARMADO EM UM EDIFÍCIO DE MÚLTIPLOS PAVIMENTOS UTILIZANDO AÇO CA-60 DE 5,0 MM</t>
  </si>
  <si>
    <t>KG</t>
  </si>
  <si>
    <t>ARMAÇÃO DE BLOCO, VIGA BALDRAME OU SAPATA UTILIZANDO AÇO CA-50 DE 10 MM</t>
  </si>
  <si>
    <t>CONCRETO ARMADO - ESTACAS E BLOCOS</t>
  </si>
  <si>
    <t>ARMAÇÃO DE BLOCO, VIGA BALDRAME OU SAPATA UTILIZANDO AÇO CA-50 DE 6,3MM</t>
  </si>
  <si>
    <t>Concreto Bombeado fck= 25MPa; incluindo preparo</t>
  </si>
  <si>
    <t>LANÇAMENTO COM USO DE BALDES, ADENSAMENTO E ACABAMENTO DE CONCRETO EM ESTRUTURAS.</t>
  </si>
  <si>
    <t>DEMOLIÇÕES E RETIRADAS</t>
  </si>
  <si>
    <t xml:space="preserve">Demolicao manual concreto armado (pilar / viga / laje) - incl empilhacao lateral no canteiro                                                                                                            </t>
  </si>
  <si>
    <t xml:space="preserve">Demolicao de alvenaria de tijolos furados s/reaproveitamentoao lateral no canteiro                                                                                                                      </t>
  </si>
  <si>
    <t xml:space="preserve">Remocao de azulejo e substrato de aderencia em argamassa                                                                                                                                                </t>
  </si>
  <si>
    <t xml:space="preserve">Retirada de telhas onduladas                                                                                                                                                                            </t>
  </si>
  <si>
    <t>2.6</t>
  </si>
  <si>
    <t xml:space="preserve">m3    </t>
  </si>
  <si>
    <t>m2</t>
  </si>
  <si>
    <t>TRANSPORTE DE ENTULHO COM CAMINHÃO BASCULANTE 6 M3, RODOVIA PAVIMENTADA, DMT ATE 0,5 KM</t>
  </si>
  <si>
    <t>3.3</t>
  </si>
  <si>
    <t>3.4</t>
  </si>
  <si>
    <t>3.5</t>
  </si>
  <si>
    <t>4.1.6</t>
  </si>
  <si>
    <t>4.1.8</t>
  </si>
  <si>
    <t>4.1.9</t>
  </si>
  <si>
    <t>4.1.10</t>
  </si>
  <si>
    <t>4.1.11</t>
  </si>
  <si>
    <t>4.1.12</t>
  </si>
  <si>
    <t>4.1.13</t>
  </si>
  <si>
    <t>4.1.14</t>
  </si>
  <si>
    <t>4.1.15</t>
  </si>
  <si>
    <t>5.1.3</t>
  </si>
  <si>
    <t>5.1.4</t>
  </si>
  <si>
    <t>5.2</t>
  </si>
  <si>
    <t>5.2.1</t>
  </si>
  <si>
    <t>5.2.2</t>
  </si>
  <si>
    <t>5.2.3</t>
  </si>
  <si>
    <t>5.2.4</t>
  </si>
  <si>
    <t>5.2.5</t>
  </si>
  <si>
    <t>5.4</t>
  </si>
  <si>
    <t>5.3</t>
  </si>
  <si>
    <t>5.3.1</t>
  </si>
  <si>
    <t>5.4.1</t>
  </si>
  <si>
    <t>Montagem e desmontagem de forma, em chapa de madeira compensada plastificada com reaproveitamento</t>
  </si>
  <si>
    <t>5.2.6</t>
  </si>
  <si>
    <t>74202/002</t>
  </si>
  <si>
    <t xml:space="preserve">Demolicao de forro                                                                                                                                                                          </t>
  </si>
  <si>
    <t>BALDRAME</t>
  </si>
  <si>
    <t>ESTRIBO</t>
  </si>
  <si>
    <t>FABRICAÇÃO E INSTALAÇÃO DE TESOURA INTEIRA EM MADEIRA NÃO APARELHADA, VÃO DE 7 M, PARA TELHA CERÂMICA OU DE CONCRETO, INCLUSO IÇAMENTO</t>
  </si>
  <si>
    <t>unid</t>
  </si>
  <si>
    <t>7.5</t>
  </si>
  <si>
    <t>7.6</t>
  </si>
  <si>
    <t>CALHA EM CHAPA DE AÇO GALVANIZADO NÚMERO 24, DESENVOLVIMENTO DE 100 CM, INCLUSO TRANSPORTE VERTICAL</t>
  </si>
  <si>
    <t>RUFO EM CHAPA DE AÇO GALVANIZADO NÚMERO 24, CORTE DE 25 CM, INCLUSO TRANSPORTE VERTICAL</t>
  </si>
  <si>
    <t>74106/001</t>
  </si>
  <si>
    <t>74065/002</t>
  </si>
  <si>
    <t>74166/001</t>
  </si>
  <si>
    <t>74130/001</t>
  </si>
  <si>
    <t>LUMINÁRIA TIPO CALHA, DE SOBREPOR, COM 2 LÂMPADAS TUBULARES DE 36 W - FORNECIMENTO E INSTALAÇÃO</t>
  </si>
  <si>
    <t>Engº Thiago Sanches Alves Corrêa</t>
  </si>
  <si>
    <t>Crea 11.027/D-MS</t>
  </si>
  <si>
    <t xml:space="preserve">BDI = </t>
  </si>
  <si>
    <t>REVESTIMENTO CERÂMICO PARA PISO COM PLACAS TIPO ESMALTADA EXTRA DE DIMENSÕES 60X60 CM APLICADA EM AMBIENTES DE ÁREA MAIOR QUE 10 M2</t>
  </si>
  <si>
    <t>Emassamento de parede de tetos internos, duas demaos</t>
  </si>
  <si>
    <t>11.5</t>
  </si>
  <si>
    <t>Textura acrilica externa</t>
  </si>
  <si>
    <t>REVESTIMENTO CERÂMICO PARA PISO COM PLACAS TIPO ESMALTADA EXTRA DE DIMENSÕES 60X60 CM APLICADA EM AMBIENTES DE ÁREA MAIOR QUE 10 M2 - RODAPÉ</t>
  </si>
  <si>
    <t>4.1.5</t>
  </si>
  <si>
    <t>4.1.7</t>
  </si>
  <si>
    <t>10.1.3</t>
  </si>
  <si>
    <t>74209/001</t>
  </si>
  <si>
    <t>Concreto Bombeado fck= 25MPa; incluindo preparo e lançamento</t>
  </si>
  <si>
    <t>Item 3.07</t>
  </si>
  <si>
    <t>Sinduscon</t>
  </si>
  <si>
    <t>Consumo de agua e esgoto (mensal acima de 10 m3) - 15 m3/mês</t>
  </si>
  <si>
    <t>Item 3.08</t>
  </si>
  <si>
    <t>Consumo de energia - 120 kw/mês</t>
  </si>
  <si>
    <t>Kw</t>
  </si>
  <si>
    <t xml:space="preserve">Massa única em teto com argamassa traço 1:2:8 (cimento, cal e areia), espessura 2cm </t>
  </si>
  <si>
    <t>Massa única em parede com argamassa traço 1:2:8 (cimento, cal e areia), em betoneiras de 400l</t>
  </si>
  <si>
    <t>4.1.16</t>
  </si>
  <si>
    <t>5.1.5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</si>
</sst>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&quot; &quot;;&quot; (&quot;#,##0.00&quot;)&quot;;&quot; -&quot;#&quot; &quot;;@&quot; &quot;"/>
    <numFmt numFmtId="166" formatCode="#,##0.00&quot; &quot;;&quot;-&quot;#,##0.00&quot; &quot;;&quot; -&quot;#&quot; &quot;;@&quot; &quot;"/>
    <numFmt numFmtId="167" formatCode="[$R$-416]&quot; &quot;#,##0.00;[Red]&quot;-&quot;[$R$-416]&quot; &quot;#,##0.00"/>
    <numFmt numFmtId="168" formatCode="_-* #,##0.00\ _€_-;\-* #,##0.00\ _€_-;_-* &quot;-&quot;??\ _€_-;_-@_-"/>
    <numFmt numFmtId="169" formatCode="#\,##0.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\$#."/>
    <numFmt numFmtId="173" formatCode="#.00"/>
    <numFmt numFmtId="174" formatCode="0.00_)"/>
    <numFmt numFmtId="175" formatCode="%#.00"/>
    <numFmt numFmtId="176" formatCode="#\,##0.00"/>
    <numFmt numFmtId="177" formatCode="#,"/>
    <numFmt numFmtId="178" formatCode="_(* #,##0_);_(* \(#,##0\);_(* &quot;-&quot;_);_(@_)"/>
    <numFmt numFmtId="179" formatCode="&quot;BDI&quot;\ \=\ #.0\ %"/>
    <numFmt numFmtId="180" formatCode="&quot;R$&quot;\ #,##0.00"/>
  </numFmts>
  <fonts count="46"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name val="Arial1"/>
    </font>
    <font>
      <sz val="10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indexed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color indexed="8"/>
      <name val="MS Sans Serif"/>
      <family val="2"/>
    </font>
    <font>
      <sz val="1"/>
      <color indexed="8"/>
      <name val="Courier"/>
      <family val="3"/>
    </font>
    <font>
      <u/>
      <sz val="6"/>
      <color indexed="36"/>
      <name val="MS Sans Serif"/>
      <family val="2"/>
    </font>
    <font>
      <sz val="8"/>
      <name val="Arial"/>
      <family val="2"/>
    </font>
    <font>
      <sz val="10"/>
      <name val="Courier"/>
      <family val="3"/>
    </font>
    <font>
      <sz val="12"/>
      <name val="Times New Roman"/>
      <family val="1"/>
    </font>
    <font>
      <b/>
      <i/>
      <sz val="16"/>
      <name val="Helv"/>
    </font>
    <font>
      <b/>
      <sz val="14"/>
      <name val="Arial"/>
      <family val="2"/>
    </font>
    <font>
      <sz val="1"/>
      <color indexed="18"/>
      <name val="Courier"/>
      <family val="3"/>
    </font>
    <font>
      <b/>
      <sz val="1"/>
      <color indexed="8"/>
      <name val="Courier"/>
      <family val="3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0C0C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61">
    <xf numFmtId="0" fontId="0" fillId="0" borderId="0"/>
    <xf numFmtId="0" fontId="16" fillId="0" borderId="0" applyNumberFormat="0" applyBorder="0" applyProtection="0"/>
    <xf numFmtId="0" fontId="16" fillId="0" borderId="0" applyNumberFormat="0" applyBorder="0" applyProtection="0"/>
    <xf numFmtId="165" fontId="16" fillId="0" borderId="0" applyBorder="0" applyProtection="0"/>
    <xf numFmtId="165" fontId="16" fillId="0" borderId="0" applyBorder="0" applyProtection="0"/>
    <xf numFmtId="0" fontId="17" fillId="0" borderId="0" applyNumberFormat="0" applyBorder="0" applyProtection="0"/>
    <xf numFmtId="0" fontId="16" fillId="0" borderId="0" applyNumberFormat="0" applyBorder="0" applyProtection="0"/>
    <xf numFmtId="166" fontId="17" fillId="0" borderId="0" applyBorder="0" applyProtection="0"/>
    <xf numFmtId="0" fontId="18" fillId="0" borderId="0" applyNumberFormat="0" applyBorder="0" applyProtection="0">
      <alignment horizontal="center"/>
    </xf>
    <xf numFmtId="0" fontId="18" fillId="0" borderId="0" applyNumberFormat="0" applyBorder="0" applyProtection="0">
      <alignment horizontal="center" textRotation="90"/>
    </xf>
    <xf numFmtId="0" fontId="12" fillId="0" borderId="0"/>
    <xf numFmtId="9" fontId="12" fillId="0" borderId="0" applyFont="0" applyFill="0" applyBorder="0" applyAlignment="0" applyProtection="0"/>
    <xf numFmtId="0" fontId="19" fillId="0" borderId="0" applyNumberFormat="0" applyBorder="0" applyProtection="0"/>
    <xf numFmtId="167" fontId="19" fillId="0" borderId="0" applyBorder="0" applyProtection="0"/>
    <xf numFmtId="164" fontId="14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16" fillId="0" borderId="0" applyBorder="0" applyProtection="0"/>
    <xf numFmtId="0" fontId="12" fillId="0" borderId="0"/>
    <xf numFmtId="0" fontId="12" fillId="0" borderId="0"/>
    <xf numFmtId="0" fontId="12" fillId="0" borderId="0"/>
    <xf numFmtId="0" fontId="20" fillId="0" borderId="0"/>
    <xf numFmtId="164" fontId="12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1" fillId="0" borderId="0"/>
    <xf numFmtId="0" fontId="10" fillId="0" borderId="0"/>
    <xf numFmtId="0" fontId="22" fillId="0" borderId="0"/>
    <xf numFmtId="164" fontId="14" fillId="0" borderId="0" applyFont="0" applyFill="0" applyBorder="0" applyAlignment="0" applyProtection="0"/>
    <xf numFmtId="0" fontId="20" fillId="0" borderId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7" fillId="0" borderId="0" applyNumberFormat="0" applyBorder="0" applyProtection="0"/>
    <xf numFmtId="0" fontId="23" fillId="0" borderId="0" applyNumberFormat="0" applyFill="0" applyBorder="0" applyAlignment="0" applyProtection="0">
      <alignment vertical="top"/>
      <protection locked="0"/>
    </xf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24" fillId="0" borderId="0"/>
    <xf numFmtId="0" fontId="21" fillId="0" borderId="0"/>
    <xf numFmtId="0" fontId="9" fillId="0" borderId="0"/>
    <xf numFmtId="9" fontId="20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8" fillId="0" borderId="0"/>
    <xf numFmtId="43" fontId="8" fillId="0" borderId="0" applyFont="0" applyFill="0" applyBorder="0" applyAlignment="0" applyProtection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164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27" fillId="0" borderId="0"/>
    <xf numFmtId="9" fontId="26" fillId="0" borderId="0" applyFont="0" applyFill="0" applyBorder="0" applyAlignment="0" applyProtection="0"/>
    <xf numFmtId="0" fontId="28" fillId="0" borderId="0"/>
    <xf numFmtId="168" fontId="12" fillId="0" borderId="0" applyFont="0" applyFill="0" applyBorder="0" applyAlignment="0" applyProtection="0"/>
    <xf numFmtId="169" fontId="29" fillId="0" borderId="0">
      <protection locked="0"/>
    </xf>
    <xf numFmtId="0" fontId="13" fillId="6" borderId="25" applyFill="0" applyBorder="0" applyAlignment="0" applyProtection="0">
      <alignment vertical="center"/>
      <protection locked="0"/>
    </xf>
    <xf numFmtId="170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38" fontId="31" fillId="2" borderId="0" applyNumberFormat="0" applyBorder="0" applyAlignment="0" applyProtection="0"/>
    <xf numFmtId="0" fontId="29" fillId="0" borderId="0">
      <protection locked="0"/>
    </xf>
    <xf numFmtId="0" fontId="29" fillId="0" borderId="0">
      <protection locked="0"/>
    </xf>
    <xf numFmtId="0" fontId="32" fillId="0" borderId="0"/>
    <xf numFmtId="10" fontId="31" fillId="7" borderId="1" applyNumberFormat="0" applyBorder="0" applyAlignment="0" applyProtection="0"/>
    <xf numFmtId="0" fontId="12" fillId="0" borderId="0">
      <alignment horizontal="centerContinuous" vertical="justify"/>
    </xf>
    <xf numFmtId="0" fontId="33" fillId="0" borderId="0" applyAlignment="0">
      <alignment horizontal="center"/>
    </xf>
    <xf numFmtId="174" fontId="34" fillId="0" borderId="0"/>
    <xf numFmtId="0" fontId="35" fillId="0" borderId="0">
      <alignment horizontal="left" vertical="center" indent="12"/>
    </xf>
    <xf numFmtId="0" fontId="31" fillId="0" borderId="25" applyBorder="0">
      <alignment horizontal="left" vertical="center" wrapText="1" indent="2"/>
      <protection locked="0"/>
    </xf>
    <xf numFmtId="0" fontId="31" fillId="0" borderId="25" applyBorder="0">
      <alignment horizontal="left" vertical="center" wrapText="1" indent="3"/>
      <protection locked="0"/>
    </xf>
    <xf numFmtId="10" fontId="12" fillId="0" borderId="0" applyFont="0" applyFill="0" applyBorder="0" applyAlignment="0" applyProtection="0"/>
    <xf numFmtId="175" fontId="29" fillId="0" borderId="0">
      <protection locked="0"/>
    </xf>
    <xf numFmtId="175" fontId="29" fillId="0" borderId="0">
      <protection locked="0"/>
    </xf>
    <xf numFmtId="176" fontId="29" fillId="0" borderId="0">
      <protection locked="0"/>
    </xf>
    <xf numFmtId="38" fontId="25" fillId="0" borderId="0" applyFont="0" applyFill="0" applyBorder="0" applyAlignment="0" applyProtection="0"/>
    <xf numFmtId="177" fontId="36" fillId="0" borderId="0">
      <protection locked="0"/>
    </xf>
    <xf numFmtId="178" fontId="26" fillId="0" borderId="0" applyFont="0" applyFill="0" applyBorder="0" applyAlignment="0" applyProtection="0"/>
    <xf numFmtId="0" fontId="25" fillId="0" borderId="0"/>
    <xf numFmtId="0" fontId="37" fillId="0" borderId="0">
      <protection locked="0"/>
    </xf>
    <xf numFmtId="0" fontId="37" fillId="0" borderId="0">
      <protection locked="0"/>
    </xf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8" fillId="0" borderId="0"/>
    <xf numFmtId="164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2" fillId="0" borderId="0"/>
    <xf numFmtId="0" fontId="39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0" borderId="0"/>
    <xf numFmtId="43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9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2" fillId="0" borderId="0"/>
    <xf numFmtId="0" fontId="12" fillId="0" borderId="0"/>
    <xf numFmtId="0" fontId="2" fillId="0" borderId="0"/>
    <xf numFmtId="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2" fillId="0" borderId="0"/>
    <xf numFmtId="0" fontId="12" fillId="0" borderId="0"/>
    <xf numFmtId="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231">
    <xf numFmtId="0" fontId="0" fillId="0" borderId="0" xfId="0"/>
    <xf numFmtId="0" fontId="13" fillId="0" borderId="0" xfId="10" applyFont="1" applyFill="1" applyBorder="1" applyAlignment="1">
      <alignment horizontal="center" vertical="center" wrapText="1"/>
    </xf>
    <xf numFmtId="0" fontId="13" fillId="0" borderId="0" xfId="10" applyFont="1" applyFill="1" applyBorder="1" applyAlignment="1">
      <alignment horizontal="center" wrapText="1"/>
    </xf>
    <xf numFmtId="0" fontId="12" fillId="0" borderId="0" xfId="10" applyFont="1" applyFill="1" applyBorder="1" applyAlignment="1">
      <alignment horizontal="left" vertical="center" wrapText="1"/>
    </xf>
    <xf numFmtId="0" fontId="12" fillId="0" borderId="0" xfId="10" applyFont="1" applyFill="1" applyBorder="1" applyAlignment="1">
      <alignment vertical="center"/>
    </xf>
    <xf numFmtId="0" fontId="12" fillId="0" borderId="0" xfId="10" applyFont="1" applyFill="1" applyAlignment="1">
      <alignment horizontal="center" vertical="center"/>
    </xf>
    <xf numFmtId="0" fontId="12" fillId="0" borderId="0" xfId="10" applyFont="1" applyFill="1" applyAlignment="1">
      <alignment horizontal="center"/>
    </xf>
    <xf numFmtId="0" fontId="12" fillId="0" borderId="0" xfId="10" applyFont="1" applyAlignment="1">
      <alignment vertical="center"/>
    </xf>
    <xf numFmtId="0" fontId="13" fillId="0" borderId="0" xfId="10" applyFont="1" applyFill="1" applyBorder="1" applyAlignment="1">
      <alignment vertical="center"/>
    </xf>
    <xf numFmtId="0" fontId="12" fillId="0" borderId="0" xfId="10" applyFont="1" applyFill="1" applyBorder="1" applyAlignment="1">
      <alignment horizontal="center"/>
    </xf>
    <xf numFmtId="0" fontId="13" fillId="4" borderId="1" xfId="10" applyFont="1" applyFill="1" applyBorder="1" applyAlignment="1">
      <alignment vertical="center" wrapText="1"/>
    </xf>
    <xf numFmtId="0" fontId="13" fillId="0" borderId="1" xfId="10" applyFont="1" applyFill="1" applyBorder="1" applyAlignment="1">
      <alignment horizontal="center" vertical="center" wrapText="1"/>
    </xf>
    <xf numFmtId="165" fontId="15" fillId="0" borderId="1" xfId="4" applyFont="1" applyFill="1" applyBorder="1" applyAlignment="1">
      <alignment horizontal="center" vertical="center" wrapText="1"/>
    </xf>
    <xf numFmtId="0" fontId="13" fillId="4" borderId="1" xfId="10" applyFont="1" applyFill="1" applyBorder="1" applyAlignment="1">
      <alignment horizontal="center" vertical="center"/>
    </xf>
    <xf numFmtId="164" fontId="12" fillId="0" borderId="0" xfId="26" applyFont="1" applyFill="1" applyAlignment="1">
      <alignment horizontal="center" vertical="center"/>
    </xf>
    <xf numFmtId="164" fontId="12" fillId="0" borderId="0" xfId="26" applyFont="1" applyFill="1" applyBorder="1" applyAlignment="1">
      <alignment horizontal="center" vertical="center"/>
    </xf>
    <xf numFmtId="164" fontId="12" fillId="0" borderId="0" xfId="26" applyFont="1" applyFill="1" applyBorder="1" applyAlignment="1">
      <alignment horizontal="center" vertical="center" wrapText="1"/>
    </xf>
    <xf numFmtId="164" fontId="13" fillId="0" borderId="0" xfId="26" applyFont="1" applyFill="1" applyBorder="1" applyAlignment="1">
      <alignment horizontal="center" vertical="center"/>
    </xf>
    <xf numFmtId="164" fontId="13" fillId="0" borderId="1" xfId="26" applyFont="1" applyFill="1" applyBorder="1" applyAlignment="1">
      <alignment horizontal="center" vertical="center"/>
    </xf>
    <xf numFmtId="0" fontId="13" fillId="4" borderId="1" xfId="10" applyFont="1" applyFill="1" applyBorder="1" applyAlignment="1">
      <alignment horizontal="center" vertical="center" wrapText="1"/>
    </xf>
    <xf numFmtId="0" fontId="12" fillId="4" borderId="0" xfId="10" applyFont="1" applyFill="1" applyAlignment="1">
      <alignment vertical="center"/>
    </xf>
    <xf numFmtId="0" fontId="12" fillId="0" borderId="0" xfId="10" applyFont="1" applyFill="1" applyBorder="1" applyAlignment="1">
      <alignment horizontal="center" vertical="center"/>
    </xf>
    <xf numFmtId="0" fontId="12" fillId="0" borderId="12" xfId="10" applyBorder="1" applyAlignment="1">
      <alignment horizontal="center"/>
    </xf>
    <xf numFmtId="10" fontId="0" fillId="0" borderId="1" xfId="11" applyNumberFormat="1" applyFont="1" applyBorder="1"/>
    <xf numFmtId="0" fontId="12" fillId="0" borderId="1" xfId="10" applyBorder="1"/>
    <xf numFmtId="164" fontId="12" fillId="0" borderId="1" xfId="10" applyNumberFormat="1" applyBorder="1"/>
    <xf numFmtId="9" fontId="12" fillId="5" borderId="1" xfId="11" applyFont="1" applyFill="1" applyBorder="1"/>
    <xf numFmtId="9" fontId="0" fillId="0" borderId="1" xfId="11" applyFont="1" applyFill="1" applyBorder="1"/>
    <xf numFmtId="9" fontId="12" fillId="0" borderId="1" xfId="11" applyFont="1" applyFill="1" applyBorder="1"/>
    <xf numFmtId="164" fontId="0" fillId="0" borderId="1" xfId="45" applyFont="1" applyBorder="1"/>
    <xf numFmtId="0" fontId="12" fillId="0" borderId="1" xfId="10" applyBorder="1" applyAlignment="1">
      <alignment horizontal="center"/>
    </xf>
    <xf numFmtId="0" fontId="12" fillId="0" borderId="0" xfId="10"/>
    <xf numFmtId="164" fontId="0" fillId="0" borderId="0" xfId="45" applyFont="1"/>
    <xf numFmtId="10" fontId="12" fillId="3" borderId="13" xfId="10" applyNumberFormat="1" applyFill="1" applyBorder="1"/>
    <xf numFmtId="10" fontId="12" fillId="3" borderId="14" xfId="10" applyNumberFormat="1" applyFill="1" applyBorder="1"/>
    <xf numFmtId="49" fontId="13" fillId="2" borderId="25" xfId="10" applyNumberFormat="1" applyFont="1" applyFill="1" applyBorder="1" applyAlignment="1">
      <alignment vertical="center"/>
    </xf>
    <xf numFmtId="49" fontId="13" fillId="2" borderId="23" xfId="10" applyNumberFormat="1" applyFont="1" applyFill="1" applyBorder="1" applyAlignment="1">
      <alignment vertical="center"/>
    </xf>
    <xf numFmtId="0" fontId="12" fillId="0" borderId="8" xfId="10" applyFont="1" applyFill="1" applyBorder="1" applyAlignment="1">
      <alignment vertical="center" wrapText="1"/>
    </xf>
    <xf numFmtId="49" fontId="13" fillId="3" borderId="2" xfId="10" applyNumberFormat="1" applyFont="1" applyFill="1" applyBorder="1" applyAlignment="1">
      <alignment horizontal="center" vertical="center" wrapText="1"/>
    </xf>
    <xf numFmtId="164" fontId="13" fillId="3" borderId="24" xfId="26" applyFont="1" applyFill="1" applyBorder="1" applyAlignment="1">
      <alignment horizontal="center" vertical="center" wrapText="1"/>
    </xf>
    <xf numFmtId="4" fontId="13" fillId="3" borderId="2" xfId="10" applyNumberFormat="1" applyFont="1" applyFill="1" applyBorder="1" applyAlignment="1">
      <alignment horizontal="center" vertical="center" wrapText="1"/>
    </xf>
    <xf numFmtId="4" fontId="13" fillId="3" borderId="3" xfId="10" applyNumberFormat="1" applyFont="1" applyFill="1" applyBorder="1" applyAlignment="1">
      <alignment horizontal="center" vertical="center" wrapText="1"/>
    </xf>
    <xf numFmtId="0" fontId="12" fillId="0" borderId="0" xfId="10" applyFont="1" applyFill="1" applyBorder="1" applyAlignment="1">
      <alignment horizontal="center" vertical="center" wrapText="1"/>
    </xf>
    <xf numFmtId="49" fontId="13" fillId="3" borderId="13" xfId="1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35" fillId="0" borderId="4" xfId="10" applyFont="1" applyBorder="1" applyAlignment="1">
      <alignment vertical="center"/>
    </xf>
    <xf numFmtId="0" fontId="35" fillId="0" borderId="5" xfId="10" applyFont="1" applyBorder="1" applyAlignment="1">
      <alignment vertical="center"/>
    </xf>
    <xf numFmtId="0" fontId="35" fillId="0" borderId="6" xfId="10" applyFont="1" applyBorder="1" applyAlignment="1">
      <alignment vertical="center"/>
    </xf>
    <xf numFmtId="0" fontId="12" fillId="0" borderId="0" xfId="10" applyFont="1" applyAlignment="1">
      <alignment horizontal="left" vertical="center"/>
    </xf>
    <xf numFmtId="0" fontId="12" fillId="0" borderId="0" xfId="10" applyFont="1" applyAlignment="1">
      <alignment horizontal="center" vertical="center"/>
    </xf>
    <xf numFmtId="164" fontId="12" fillId="0" borderId="0" xfId="45" applyFont="1" applyAlignment="1">
      <alignment horizontal="center" vertical="center"/>
    </xf>
    <xf numFmtId="0" fontId="13" fillId="0" borderId="4" xfId="10" applyFont="1" applyBorder="1" applyAlignment="1">
      <alignment vertical="center"/>
    </xf>
    <xf numFmtId="0" fontId="13" fillId="0" borderId="5" xfId="10" applyFont="1" applyBorder="1" applyAlignment="1">
      <alignment vertical="center"/>
    </xf>
    <xf numFmtId="0" fontId="12" fillId="0" borderId="5" xfId="10" applyFont="1" applyBorder="1" applyAlignment="1">
      <alignment horizontal="left" vertical="center"/>
    </xf>
    <xf numFmtId="0" fontId="12" fillId="0" borderId="5" xfId="10" applyFont="1" applyBorder="1" applyAlignment="1">
      <alignment horizontal="center" vertical="center"/>
    </xf>
    <xf numFmtId="164" fontId="12" fillId="0" borderId="5" xfId="45" applyFont="1" applyBorder="1" applyAlignment="1">
      <alignment horizontal="center" vertical="center"/>
    </xf>
    <xf numFmtId="0" fontId="12" fillId="0" borderId="5" xfId="10" applyFont="1" applyBorder="1" applyAlignment="1">
      <alignment vertical="center"/>
    </xf>
    <xf numFmtId="0" fontId="12" fillId="0" borderId="6" xfId="10" applyFont="1" applyBorder="1" applyAlignment="1">
      <alignment horizontal="center" vertical="center"/>
    </xf>
    <xf numFmtId="0" fontId="13" fillId="0" borderId="7" xfId="10" applyFont="1" applyBorder="1" applyAlignment="1">
      <alignment vertical="center"/>
    </xf>
    <xf numFmtId="0" fontId="13" fillId="0" borderId="0" xfId="10" applyFont="1" applyBorder="1" applyAlignment="1">
      <alignment vertical="center"/>
    </xf>
    <xf numFmtId="0" fontId="12" fillId="0" borderId="0" xfId="10" applyFont="1" applyBorder="1" applyAlignment="1">
      <alignment horizontal="left" vertical="center"/>
    </xf>
    <xf numFmtId="0" fontId="12" fillId="0" borderId="0" xfId="10" applyFont="1" applyBorder="1" applyAlignment="1">
      <alignment horizontal="center" vertical="center"/>
    </xf>
    <xf numFmtId="164" fontId="13" fillId="0" borderId="0" xfId="45" applyFont="1" applyBorder="1" applyAlignment="1">
      <alignment horizontal="center" vertical="center"/>
    </xf>
    <xf numFmtId="9" fontId="12" fillId="0" borderId="0" xfId="10" applyNumberFormat="1" applyFont="1" applyBorder="1" applyAlignment="1">
      <alignment vertical="center"/>
    </xf>
    <xf numFmtId="0" fontId="12" fillId="0" borderId="0" xfId="10" applyFont="1" applyBorder="1" applyAlignment="1">
      <alignment vertical="center"/>
    </xf>
    <xf numFmtId="0" fontId="12" fillId="0" borderId="8" xfId="10" applyFont="1" applyBorder="1" applyAlignment="1">
      <alignment horizontal="center" vertical="center"/>
    </xf>
    <xf numFmtId="0" fontId="13" fillId="0" borderId="9" xfId="10" applyFont="1" applyBorder="1" applyAlignment="1">
      <alignment vertical="center"/>
    </xf>
    <xf numFmtId="0" fontId="13" fillId="0" borderId="10" xfId="10" applyFont="1" applyBorder="1" applyAlignment="1">
      <alignment vertical="center"/>
    </xf>
    <xf numFmtId="0" fontId="12" fillId="0" borderId="10" xfId="10" applyFont="1" applyBorder="1" applyAlignment="1">
      <alignment horizontal="left" vertical="center"/>
    </xf>
    <xf numFmtId="0" fontId="12" fillId="0" borderId="10" xfId="10" applyFont="1" applyBorder="1" applyAlignment="1">
      <alignment horizontal="center" vertical="center"/>
    </xf>
    <xf numFmtId="164" fontId="13" fillId="0" borderId="10" xfId="45" applyFont="1" applyBorder="1" applyAlignment="1">
      <alignment horizontal="center" vertical="center"/>
    </xf>
    <xf numFmtId="0" fontId="12" fillId="0" borderId="10" xfId="10" applyFont="1" applyBorder="1" applyAlignment="1">
      <alignment vertical="center"/>
    </xf>
    <xf numFmtId="0" fontId="12" fillId="0" borderId="11" xfId="10" applyFont="1" applyBorder="1" applyAlignment="1">
      <alignment horizontal="center" vertical="center"/>
    </xf>
    <xf numFmtId="0" fontId="12" fillId="5" borderId="16" xfId="10" applyFill="1" applyBorder="1" applyAlignment="1">
      <alignment horizontal="center"/>
    </xf>
    <xf numFmtId="0" fontId="12" fillId="5" borderId="17" xfId="10" applyFill="1" applyBorder="1" applyAlignment="1">
      <alignment horizontal="center"/>
    </xf>
    <xf numFmtId="0" fontId="12" fillId="5" borderId="17" xfId="10" applyFill="1" applyBorder="1" applyAlignment="1">
      <alignment horizontal="right"/>
    </xf>
    <xf numFmtId="0" fontId="12" fillId="5" borderId="18" xfId="10" applyFill="1" applyBorder="1" applyAlignment="1">
      <alignment horizontal="center"/>
    </xf>
    <xf numFmtId="0" fontId="12" fillId="0" borderId="12" xfId="10" applyBorder="1"/>
    <xf numFmtId="0" fontId="12" fillId="0" borderId="1" xfId="10" applyBorder="1" applyAlignment="1">
      <alignment horizontal="right"/>
    </xf>
    <xf numFmtId="0" fontId="12" fillId="0" borderId="19" xfId="10" applyBorder="1"/>
    <xf numFmtId="49" fontId="12" fillId="0" borderId="1" xfId="10" applyNumberFormat="1" applyBorder="1"/>
    <xf numFmtId="10" fontId="12" fillId="0" borderId="0" xfId="10" applyNumberFormat="1"/>
    <xf numFmtId="9" fontId="0" fillId="0" borderId="19" xfId="11" applyFont="1" applyFill="1" applyBorder="1"/>
    <xf numFmtId="164" fontId="12" fillId="0" borderId="19" xfId="10" applyNumberFormat="1" applyBorder="1"/>
    <xf numFmtId="9" fontId="12" fillId="5" borderId="19" xfId="11" applyFont="1" applyFill="1" applyBorder="1"/>
    <xf numFmtId="9" fontId="12" fillId="0" borderId="19" xfId="11" applyFont="1" applyFill="1" applyBorder="1"/>
    <xf numFmtId="0" fontId="12" fillId="0" borderId="20" xfId="10" applyBorder="1" applyAlignment="1">
      <alignment horizontal="center"/>
    </xf>
    <xf numFmtId="0" fontId="12" fillId="0" borderId="21" xfId="10" applyBorder="1"/>
    <xf numFmtId="164" fontId="0" fillId="0" borderId="21" xfId="45" applyFont="1" applyBorder="1"/>
    <xf numFmtId="10" fontId="0" fillId="0" borderId="21" xfId="11" applyNumberFormat="1" applyFont="1" applyBorder="1"/>
    <xf numFmtId="9" fontId="0" fillId="0" borderId="21" xfId="11" applyFont="1" applyFill="1" applyBorder="1"/>
    <xf numFmtId="164" fontId="12" fillId="0" borderId="22" xfId="10" applyNumberFormat="1" applyBorder="1"/>
    <xf numFmtId="164" fontId="13" fillId="5" borderId="27" xfId="45" applyFont="1" applyFill="1" applyBorder="1"/>
    <xf numFmtId="0" fontId="12" fillId="5" borderId="2" xfId="10" applyFill="1" applyBorder="1"/>
    <xf numFmtId="164" fontId="12" fillId="5" borderId="2" xfId="10" applyNumberFormat="1" applyFill="1" applyBorder="1"/>
    <xf numFmtId="10" fontId="0" fillId="0" borderId="13" xfId="11" applyNumberFormat="1" applyFont="1" applyBorder="1"/>
    <xf numFmtId="10" fontId="0" fillId="0" borderId="14" xfId="11" applyNumberFormat="1" applyFont="1" applyBorder="1"/>
    <xf numFmtId="10" fontId="0" fillId="0" borderId="15" xfId="11" applyNumberFormat="1" applyFont="1" applyBorder="1"/>
    <xf numFmtId="10" fontId="12" fillId="3" borderId="15" xfId="10" applyNumberFormat="1" applyFill="1" applyBorder="1"/>
    <xf numFmtId="0" fontId="12" fillId="0" borderId="1" xfId="179" applyFont="1" applyFill="1" applyBorder="1" applyAlignment="1">
      <alignment horizontal="left" vertical="center" wrapText="1"/>
    </xf>
    <xf numFmtId="0" fontId="12" fillId="0" borderId="1" xfId="220" applyFont="1" applyFill="1" applyBorder="1" applyAlignment="1">
      <alignment horizontal="center" vertical="center"/>
    </xf>
    <xf numFmtId="0" fontId="12" fillId="0" borderId="1" xfId="259" applyFont="1" applyFill="1" applyBorder="1" applyAlignment="1">
      <alignment horizontal="center" vertical="center"/>
    </xf>
    <xf numFmtId="0" fontId="12" fillId="0" borderId="1" xfId="225" applyFont="1" applyFill="1" applyBorder="1" applyAlignment="1">
      <alignment horizontal="center" vertical="center"/>
    </xf>
    <xf numFmtId="0" fontId="12" fillId="0" borderId="1" xfId="185" applyFont="1" applyFill="1" applyBorder="1" applyAlignment="1">
      <alignment horizontal="center" vertical="center"/>
    </xf>
    <xf numFmtId="0" fontId="12" fillId="0" borderId="1" xfId="183" applyFont="1" applyFill="1" applyBorder="1" applyAlignment="1">
      <alignment horizontal="center" vertical="center"/>
    </xf>
    <xf numFmtId="0" fontId="12" fillId="0" borderId="1" xfId="181" applyFont="1" applyFill="1" applyBorder="1" applyAlignment="1">
      <alignment horizontal="center" vertical="center"/>
    </xf>
    <xf numFmtId="0" fontId="12" fillId="0" borderId="1" xfId="261" applyFont="1" applyFill="1" applyBorder="1" applyAlignment="1">
      <alignment horizontal="center" vertical="center"/>
    </xf>
    <xf numFmtId="0" fontId="12" fillId="0" borderId="1" xfId="206" applyFont="1" applyFill="1" applyBorder="1" applyAlignment="1">
      <alignment horizontal="center" vertical="center"/>
    </xf>
    <xf numFmtId="0" fontId="12" fillId="0" borderId="1" xfId="266" applyFont="1" applyBorder="1" applyAlignment="1">
      <alignment horizontal="center" vertical="center"/>
    </xf>
    <xf numFmtId="0" fontId="12" fillId="0" borderId="1" xfId="266" applyFont="1" applyBorder="1" applyAlignment="1">
      <alignment horizontal="left" vertical="center" wrapText="1"/>
    </xf>
    <xf numFmtId="0" fontId="12" fillId="0" borderId="1" xfId="10" applyFont="1" applyFill="1" applyBorder="1" applyAlignment="1">
      <alignment horizontal="left" vertical="center" wrapText="1"/>
    </xf>
    <xf numFmtId="0" fontId="12" fillId="0" borderId="1" xfId="10" applyFont="1" applyFill="1" applyBorder="1" applyAlignment="1">
      <alignment horizontal="center" vertical="center" wrapText="1"/>
    </xf>
    <xf numFmtId="0" fontId="13" fillId="0" borderId="1" xfId="10" applyFont="1" applyFill="1" applyBorder="1" applyAlignment="1">
      <alignment horizontal="left" vertical="center" wrapText="1"/>
    </xf>
    <xf numFmtId="0" fontId="12" fillId="0" borderId="1" xfId="10" applyFont="1" applyFill="1" applyBorder="1" applyAlignment="1">
      <alignment vertical="center" wrapText="1"/>
    </xf>
    <xf numFmtId="0" fontId="12" fillId="0" borderId="1" xfId="10" applyFont="1" applyFill="1" applyBorder="1" applyAlignment="1">
      <alignment horizontal="center" vertical="center"/>
    </xf>
    <xf numFmtId="0" fontId="13" fillId="2" borderId="1" xfId="10" applyFont="1" applyFill="1" applyBorder="1" applyAlignment="1">
      <alignment vertical="center"/>
    </xf>
    <xf numFmtId="0" fontId="13" fillId="0" borderId="0" xfId="10" applyFont="1" applyFill="1" applyBorder="1" applyAlignment="1">
      <alignment horizontal="left" vertical="center"/>
    </xf>
    <xf numFmtId="0" fontId="13" fillId="0" borderId="0" xfId="10" applyFont="1" applyFill="1" applyBorder="1" applyAlignment="1">
      <alignment horizontal="center"/>
    </xf>
    <xf numFmtId="0" fontId="13" fillId="0" borderId="0" xfId="10" applyFont="1" applyFill="1" applyBorder="1" applyAlignment="1">
      <alignment horizontal="center" vertical="center"/>
    </xf>
    <xf numFmtId="0" fontId="13" fillId="0" borderId="1" xfId="10" applyFont="1" applyFill="1" applyBorder="1" applyAlignment="1">
      <alignment horizontal="center" vertical="center"/>
    </xf>
    <xf numFmtId="0" fontId="13" fillId="2" borderId="1" xfId="10" applyFont="1" applyFill="1" applyBorder="1" applyAlignment="1">
      <alignment horizontal="center" vertical="center"/>
    </xf>
    <xf numFmtId="0" fontId="12" fillId="0" borderId="1" xfId="10" applyFont="1" applyFill="1" applyBorder="1" applyAlignment="1">
      <alignment vertical="center"/>
    </xf>
    <xf numFmtId="0" fontId="13" fillId="0" borderId="1" xfId="10" applyFont="1" applyFill="1" applyBorder="1" applyAlignment="1">
      <alignment vertical="center" wrapText="1"/>
    </xf>
    <xf numFmtId="0" fontId="12" fillId="4" borderId="1" xfId="10" applyFont="1" applyFill="1" applyBorder="1" applyAlignment="1">
      <alignment vertical="center"/>
    </xf>
    <xf numFmtId="0" fontId="12" fillId="4" borderId="1" xfId="10" applyFont="1" applyFill="1" applyBorder="1" applyAlignment="1">
      <alignment horizontal="center" vertical="center"/>
    </xf>
    <xf numFmtId="0" fontId="12" fillId="0" borderId="0" xfId="10" applyFont="1" applyFill="1" applyAlignment="1">
      <alignment vertical="center"/>
    </xf>
    <xf numFmtId="0" fontId="40" fillId="0" borderId="0" xfId="10" applyFont="1" applyFill="1" applyBorder="1" applyAlignment="1">
      <alignment horizontal="center" vertical="center"/>
    </xf>
    <xf numFmtId="0" fontId="40" fillId="0" borderId="1" xfId="1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left" vertical="center" wrapText="1"/>
    </xf>
    <xf numFmtId="0" fontId="40" fillId="0" borderId="0" xfId="10" applyFont="1" applyFill="1" applyAlignment="1">
      <alignment vertical="center"/>
    </xf>
    <xf numFmtId="0" fontId="40" fillId="0" borderId="1" xfId="10" applyFont="1" applyFill="1" applyBorder="1" applyAlignment="1">
      <alignment horizontal="center" vertical="center"/>
    </xf>
    <xf numFmtId="165" fontId="41" fillId="0" borderId="1" xfId="4" applyFont="1" applyFill="1" applyBorder="1" applyAlignment="1">
      <alignment horizontal="center" vertical="center" wrapText="1"/>
    </xf>
    <xf numFmtId="0" fontId="40" fillId="0" borderId="1" xfId="10" applyFont="1" applyFill="1" applyBorder="1" applyAlignment="1">
      <alignment horizontal="left" vertical="center" wrapText="1"/>
    </xf>
    <xf numFmtId="0" fontId="40" fillId="0" borderId="1" xfId="10" applyFont="1" applyFill="1" applyBorder="1" applyAlignment="1">
      <alignment vertical="center"/>
    </xf>
    <xf numFmtId="2" fontId="40" fillId="0" borderId="1" xfId="10" applyNumberFormat="1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164" fontId="12" fillId="0" borderId="21" xfId="10" applyNumberFormat="1" applyBorder="1"/>
    <xf numFmtId="0" fontId="44" fillId="0" borderId="1" xfId="10" applyFont="1" applyFill="1" applyBorder="1" applyAlignment="1">
      <alignment horizontal="right" vertical="center" wrapText="1"/>
    </xf>
    <xf numFmtId="3" fontId="12" fillId="0" borderId="1" xfId="10" applyNumberFormat="1" applyFont="1" applyFill="1" applyBorder="1" applyAlignment="1">
      <alignment horizontal="center" vertical="center" wrapText="1"/>
    </xf>
    <xf numFmtId="179" fontId="13" fillId="0" borderId="0" xfId="10" applyNumberFormat="1" applyFont="1" applyFill="1" applyBorder="1" applyAlignment="1">
      <alignment horizontal="center" vertical="center"/>
    </xf>
    <xf numFmtId="164" fontId="12" fillId="0" borderId="0" xfId="14" applyFont="1" applyFill="1" applyAlignment="1">
      <alignment horizontal="center" vertical="center"/>
    </xf>
    <xf numFmtId="43" fontId="13" fillId="0" borderId="1" xfId="10" applyNumberFormat="1" applyFont="1" applyFill="1" applyBorder="1" applyAlignment="1">
      <alignment horizontal="center" vertical="center"/>
    </xf>
    <xf numFmtId="180" fontId="13" fillId="0" borderId="1" xfId="26" applyNumberFormat="1" applyFont="1" applyFill="1" applyBorder="1" applyAlignment="1">
      <alignment horizontal="center" vertical="center"/>
    </xf>
    <xf numFmtId="164" fontId="13" fillId="0" borderId="0" xfId="14" applyFont="1" applyFill="1" applyBorder="1" applyAlignment="1">
      <alignment horizontal="center" vertical="center"/>
    </xf>
    <xf numFmtId="164" fontId="12" fillId="2" borderId="1" xfId="26" applyFont="1" applyFill="1" applyBorder="1" applyAlignment="1">
      <alignment horizontal="center" vertical="center"/>
    </xf>
    <xf numFmtId="164" fontId="13" fillId="2" borderId="1" xfId="26" applyFont="1" applyFill="1" applyBorder="1" applyAlignment="1">
      <alignment horizontal="center" vertical="center"/>
    </xf>
    <xf numFmtId="164" fontId="13" fillId="2" borderId="1" xfId="14" applyFont="1" applyFill="1" applyBorder="1" applyAlignment="1">
      <alignment horizontal="center" vertical="center"/>
    </xf>
    <xf numFmtId="164" fontId="12" fillId="0" borderId="1" xfId="14" applyFont="1" applyFill="1" applyBorder="1" applyAlignment="1">
      <alignment horizontal="center" vertical="center"/>
    </xf>
    <xf numFmtId="164" fontId="40" fillId="0" borderId="1" xfId="14" applyFont="1" applyFill="1" applyBorder="1" applyAlignment="1">
      <alignment horizontal="center" vertical="center"/>
    </xf>
    <xf numFmtId="164" fontId="13" fillId="0" borderId="1" xfId="14" applyFont="1" applyFill="1" applyBorder="1" applyAlignment="1">
      <alignment horizontal="center" vertical="center" wrapText="1"/>
    </xf>
    <xf numFmtId="164" fontId="42" fillId="0" borderId="0" xfId="26" applyFont="1" applyFill="1" applyBorder="1" applyAlignment="1">
      <alignment horizontal="center" vertical="center"/>
    </xf>
    <xf numFmtId="164" fontId="12" fillId="0" borderId="0" xfId="14" applyFont="1" applyFill="1" applyBorder="1" applyAlignment="1">
      <alignment horizontal="center" vertical="center"/>
    </xf>
    <xf numFmtId="164" fontId="43" fillId="2" borderId="1" xfId="26" applyFont="1" applyFill="1" applyBorder="1" applyAlignment="1">
      <alignment horizontal="center" vertical="center"/>
    </xf>
    <xf numFmtId="164" fontId="42" fillId="0" borderId="1" xfId="14" applyFont="1" applyFill="1" applyBorder="1" applyAlignment="1">
      <alignment horizontal="center" vertical="center"/>
    </xf>
    <xf numFmtId="164" fontId="40" fillId="0" borderId="0" xfId="26" applyFont="1" applyFill="1" applyBorder="1" applyAlignment="1">
      <alignment horizontal="center" vertical="center"/>
    </xf>
    <xf numFmtId="164" fontId="44" fillId="2" borderId="1" xfId="26" applyFont="1" applyFill="1" applyBorder="1" applyAlignment="1">
      <alignment horizontal="center" vertical="center"/>
    </xf>
    <xf numFmtId="164" fontId="13" fillId="3" borderId="1" xfId="26" applyFont="1" applyFill="1" applyBorder="1" applyAlignment="1">
      <alignment horizontal="center" vertical="center"/>
    </xf>
    <xf numFmtId="49" fontId="13" fillId="2" borderId="23" xfId="10" applyNumberFormat="1" applyFont="1" applyFill="1" applyBorder="1" applyAlignment="1">
      <alignment horizontal="center" vertical="center"/>
    </xf>
    <xf numFmtId="49" fontId="44" fillId="2" borderId="26" xfId="10" applyNumberFormat="1" applyFont="1" applyFill="1" applyBorder="1" applyAlignment="1">
      <alignment horizontal="center" vertical="center"/>
    </xf>
    <xf numFmtId="0" fontId="12" fillId="2" borderId="1" xfId="10" applyFont="1" applyFill="1" applyBorder="1" applyAlignment="1">
      <alignment horizontal="center" vertical="center"/>
    </xf>
    <xf numFmtId="164" fontId="40" fillId="0" borderId="0" xfId="26" applyFont="1" applyFill="1" applyAlignment="1">
      <alignment horizontal="center" vertical="center"/>
    </xf>
    <xf numFmtId="0" fontId="40" fillId="0" borderId="0" xfId="10" applyFont="1" applyFill="1" applyAlignment="1">
      <alignment horizontal="center" vertical="center"/>
    </xf>
    <xf numFmtId="0" fontId="13" fillId="0" borderId="0" xfId="10" applyFont="1" applyFill="1" applyAlignment="1">
      <alignment horizontal="center" vertical="center"/>
    </xf>
    <xf numFmtId="0" fontId="40" fillId="4" borderId="1" xfId="10" applyFont="1" applyFill="1" applyBorder="1" applyAlignment="1">
      <alignment horizontal="center" vertical="center"/>
    </xf>
    <xf numFmtId="0" fontId="40" fillId="0" borderId="1" xfId="10" applyFont="1" applyFill="1" applyBorder="1" applyAlignment="1">
      <alignment vertical="center" wrapText="1"/>
    </xf>
    <xf numFmtId="0" fontId="44" fillId="4" borderId="1" xfId="10" applyFont="1" applyFill="1" applyBorder="1" applyAlignment="1">
      <alignment horizontal="center" vertical="center"/>
    </xf>
    <xf numFmtId="0" fontId="44" fillId="0" borderId="1" xfId="10" applyFont="1" applyFill="1" applyBorder="1" applyAlignment="1">
      <alignment horizontal="center" vertical="center"/>
    </xf>
    <xf numFmtId="0" fontId="40" fillId="0" borderId="1" xfId="229" applyFont="1" applyFill="1" applyBorder="1" applyAlignment="1">
      <alignment horizontal="center" vertical="center"/>
    </xf>
    <xf numFmtId="0" fontId="44" fillId="0" borderId="1" xfId="10" applyFont="1" applyFill="1" applyBorder="1" applyAlignment="1">
      <alignment vertical="center" wrapText="1"/>
    </xf>
    <xf numFmtId="0" fontId="44" fillId="0" borderId="1" xfId="10" applyFont="1" applyFill="1" applyBorder="1" applyAlignment="1">
      <alignment horizontal="center" vertical="center" wrapText="1"/>
    </xf>
    <xf numFmtId="164" fontId="44" fillId="0" borderId="1" xfId="14" applyFont="1" applyFill="1" applyBorder="1" applyAlignment="1">
      <alignment horizontal="center" vertical="center" wrapText="1"/>
    </xf>
    <xf numFmtId="0" fontId="44" fillId="4" borderId="1" xfId="10" applyFont="1" applyFill="1" applyBorder="1" applyAlignment="1">
      <alignment horizontal="center" vertical="center" wrapText="1"/>
    </xf>
    <xf numFmtId="0" fontId="40" fillId="4" borderId="1" xfId="1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0" fillId="4" borderId="1" xfId="10" applyFont="1" applyFill="1" applyBorder="1" applyAlignment="1">
      <alignment vertical="center"/>
    </xf>
    <xf numFmtId="164" fontId="13" fillId="0" borderId="0" xfId="26" applyFont="1" applyFill="1" applyBorder="1" applyAlignment="1">
      <alignment horizontal="center" vertical="center" wrapText="1"/>
    </xf>
    <xf numFmtId="4" fontId="12" fillId="0" borderId="0" xfId="10" applyNumberFormat="1" applyFont="1" applyFill="1" applyAlignment="1">
      <alignment horizontal="center" vertical="center"/>
    </xf>
    <xf numFmtId="0" fontId="13" fillId="0" borderId="0" xfId="10" applyFont="1" applyFill="1" applyBorder="1" applyAlignment="1">
      <alignment vertical="center" wrapText="1"/>
    </xf>
    <xf numFmtId="0" fontId="12" fillId="0" borderId="0" xfId="10" applyFont="1" applyFill="1" applyAlignment="1">
      <alignment horizontal="left" vertical="center" wrapText="1"/>
    </xf>
    <xf numFmtId="0" fontId="13" fillId="0" borderId="0" xfId="10" applyFont="1" applyFill="1" applyBorder="1" applyAlignment="1">
      <alignment horizontal="left" vertical="center" wrapText="1"/>
    </xf>
    <xf numFmtId="0" fontId="13" fillId="8" borderId="1" xfId="10" applyFont="1" applyFill="1" applyBorder="1" applyAlignment="1">
      <alignment vertical="center" wrapText="1"/>
    </xf>
    <xf numFmtId="0" fontId="13" fillId="2" borderId="1" xfId="10" applyFont="1" applyFill="1" applyBorder="1" applyAlignment="1">
      <alignment vertical="center" wrapText="1"/>
    </xf>
    <xf numFmtId="49" fontId="13" fillId="2" borderId="23" xfId="10" applyNumberFormat="1" applyFont="1" applyFill="1" applyBorder="1" applyAlignment="1">
      <alignment vertical="center" wrapText="1"/>
    </xf>
    <xf numFmtId="0" fontId="12" fillId="0" borderId="0" xfId="10" applyFont="1" applyFill="1" applyAlignment="1">
      <alignment vertical="center" wrapText="1"/>
    </xf>
    <xf numFmtId="0" fontId="13" fillId="0" borderId="0" xfId="10" applyFont="1" applyFill="1" applyBorder="1" applyAlignment="1">
      <alignment horizontal="right" vertical="center" wrapText="1"/>
    </xf>
    <xf numFmtId="0" fontId="40" fillId="0" borderId="1" xfId="0" applyNumberFormat="1" applyFont="1" applyBorder="1" applyAlignment="1">
      <alignment horizontal="center" vertical="center"/>
    </xf>
    <xf numFmtId="0" fontId="40" fillId="0" borderId="26" xfId="0" applyFont="1" applyBorder="1" applyAlignment="1">
      <alignment horizontal="left" vertical="center" wrapText="1"/>
    </xf>
    <xf numFmtId="0" fontId="13" fillId="0" borderId="0" xfId="10" applyFont="1"/>
    <xf numFmtId="164" fontId="12" fillId="4" borderId="1" xfId="14" applyFont="1" applyFill="1" applyBorder="1" applyAlignment="1">
      <alignment horizontal="center" vertical="center"/>
    </xf>
    <xf numFmtId="0" fontId="13" fillId="0" borderId="0" xfId="10" applyFont="1" applyFill="1" applyAlignment="1">
      <alignment horizontal="right" vertical="center"/>
    </xf>
    <xf numFmtId="10" fontId="13" fillId="0" borderId="0" xfId="10" applyNumberFormat="1" applyFont="1" applyFill="1" applyBorder="1" applyAlignment="1">
      <alignment horizontal="center" vertical="center"/>
    </xf>
    <xf numFmtId="10" fontId="45" fillId="0" borderId="1" xfId="11" applyNumberFormat="1" applyFont="1" applyBorder="1"/>
    <xf numFmtId="0" fontId="40" fillId="0" borderId="1" xfId="10" applyFont="1" applyBorder="1"/>
    <xf numFmtId="165" fontId="41" fillId="0" borderId="1" xfId="4" applyFont="1" applyFill="1" applyBorder="1" applyAlignment="1">
      <alignment horizontal="center" vertical="center" wrapText="1"/>
    </xf>
    <xf numFmtId="0" fontId="40" fillId="0" borderId="1" xfId="219" applyFont="1" applyFill="1" applyBorder="1" applyAlignment="1">
      <alignment horizontal="center" vertical="center"/>
    </xf>
    <xf numFmtId="0" fontId="40" fillId="0" borderId="1" xfId="258" applyFont="1" applyFill="1" applyBorder="1" applyAlignment="1">
      <alignment horizontal="left" vertical="center" wrapText="1"/>
    </xf>
    <xf numFmtId="0" fontId="40" fillId="0" borderId="1" xfId="10" applyFont="1" applyFill="1" applyBorder="1" applyAlignment="1">
      <alignment vertical="center" wrapText="1"/>
    </xf>
    <xf numFmtId="43" fontId="12" fillId="0" borderId="0" xfId="10" applyNumberFormat="1" applyFont="1" applyFill="1" applyAlignment="1">
      <alignment vertical="center"/>
    </xf>
    <xf numFmtId="164" fontId="40" fillId="0" borderId="1" xfId="14" applyFont="1" applyFill="1" applyBorder="1" applyAlignment="1">
      <alignment horizontal="center" vertical="center"/>
    </xf>
    <xf numFmtId="0" fontId="12" fillId="0" borderId="0" xfId="1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263" applyFont="1" applyFill="1" applyBorder="1" applyAlignment="1">
      <alignment horizontal="center" vertical="center"/>
    </xf>
    <xf numFmtId="0" fontId="12" fillId="0" borderId="1" xfId="10" applyFont="1" applyFill="1" applyBorder="1" applyAlignment="1">
      <alignment horizontal="left" vertical="center" wrapText="1"/>
    </xf>
    <xf numFmtId="0" fontId="12" fillId="0" borderId="1" xfId="10" applyFont="1" applyFill="1" applyBorder="1" applyAlignment="1">
      <alignment horizontal="center" vertical="center" wrapText="1"/>
    </xf>
    <xf numFmtId="0" fontId="12" fillId="0" borderId="1" xfId="10" applyFont="1" applyFill="1" applyBorder="1" applyAlignment="1">
      <alignment horizontal="center" vertical="center"/>
    </xf>
    <xf numFmtId="0" fontId="12" fillId="0" borderId="0" xfId="10" applyFont="1" applyFill="1" applyAlignment="1">
      <alignment vertical="center"/>
    </xf>
    <xf numFmtId="0" fontId="40" fillId="0" borderId="1" xfId="10" applyFont="1" applyFill="1" applyBorder="1" applyAlignment="1">
      <alignment horizontal="center" vertical="center"/>
    </xf>
    <xf numFmtId="164" fontId="12" fillId="0" borderId="1" xfId="14" applyFont="1" applyFill="1" applyBorder="1" applyAlignment="1">
      <alignment horizontal="center" vertical="center"/>
    </xf>
    <xf numFmtId="164" fontId="40" fillId="0" borderId="1" xfId="14" applyFont="1" applyFill="1" applyBorder="1" applyAlignment="1">
      <alignment horizontal="center" vertical="center"/>
    </xf>
    <xf numFmtId="0" fontId="13" fillId="0" borderId="5" xfId="10" applyFont="1" applyFill="1" applyBorder="1" applyAlignment="1">
      <alignment horizontal="center" vertical="center" wrapText="1"/>
    </xf>
    <xf numFmtId="0" fontId="13" fillId="0" borderId="6" xfId="10" applyFont="1" applyFill="1" applyBorder="1" applyAlignment="1">
      <alignment horizontal="center" vertical="center" wrapText="1"/>
    </xf>
    <xf numFmtId="0" fontId="13" fillId="0" borderId="0" xfId="10" applyFont="1" applyFill="1" applyBorder="1" applyAlignment="1">
      <alignment horizontal="center" vertical="center" wrapText="1"/>
    </xf>
    <xf numFmtId="0" fontId="13" fillId="0" borderId="8" xfId="10" applyFont="1" applyFill="1" applyBorder="1" applyAlignment="1">
      <alignment horizontal="center" vertical="center" wrapText="1"/>
    </xf>
    <xf numFmtId="0" fontId="13" fillId="0" borderId="10" xfId="10" applyFont="1" applyFill="1" applyBorder="1" applyAlignment="1">
      <alignment horizontal="center" vertical="center" wrapText="1"/>
    </xf>
    <xf numFmtId="0" fontId="13" fillId="0" borderId="11" xfId="10" applyFont="1" applyFill="1" applyBorder="1" applyAlignment="1">
      <alignment horizontal="center" vertical="center" wrapText="1"/>
    </xf>
    <xf numFmtId="164" fontId="13" fillId="0" borderId="0" xfId="26" applyFont="1" applyFill="1" applyBorder="1" applyAlignment="1">
      <alignment horizontal="center" vertical="center" wrapText="1"/>
    </xf>
    <xf numFmtId="0" fontId="13" fillId="8" borderId="28" xfId="10" applyFont="1" applyFill="1" applyBorder="1" applyAlignment="1">
      <alignment horizontal="left" vertical="center"/>
    </xf>
    <xf numFmtId="0" fontId="13" fillId="0" borderId="9" xfId="10" applyFont="1" applyBorder="1" applyAlignment="1">
      <alignment horizontal="center" vertical="center"/>
    </xf>
    <xf numFmtId="0" fontId="13" fillId="0" borderId="10" xfId="10" applyFont="1" applyBorder="1" applyAlignment="1">
      <alignment horizontal="center" vertical="center"/>
    </xf>
    <xf numFmtId="0" fontId="13" fillId="0" borderId="11" xfId="10" applyFont="1" applyBorder="1" applyAlignment="1">
      <alignment horizontal="center" vertical="center"/>
    </xf>
    <xf numFmtId="0" fontId="13" fillId="0" borderId="13" xfId="10" applyFont="1" applyBorder="1" applyAlignment="1">
      <alignment horizontal="center" vertical="center"/>
    </xf>
    <xf numFmtId="0" fontId="13" fillId="0" borderId="14" xfId="10" applyFont="1" applyBorder="1" applyAlignment="1">
      <alignment horizontal="center" vertical="center"/>
    </xf>
    <xf numFmtId="0" fontId="13" fillId="0" borderId="15" xfId="10" applyFont="1" applyBorder="1" applyAlignment="1">
      <alignment horizontal="center" vertical="center"/>
    </xf>
    <xf numFmtId="0" fontId="12" fillId="5" borderId="13" xfId="10" applyFill="1" applyBorder="1" applyAlignment="1">
      <alignment horizontal="center"/>
    </xf>
    <xf numFmtId="0" fontId="12" fillId="5" borderId="15" xfId="10" applyFill="1" applyBorder="1" applyAlignment="1">
      <alignment horizontal="center"/>
    </xf>
  </cellXfs>
  <cellStyles count="361">
    <cellStyle name="_x000d__x000a_JournalTemplate=C:\COMFO\CTALK\JOURSTD.TPL_x000d__x000a_LbStateAddress=3 3 0 251 1 89 2 311_x000d__x000a_LbStateJou" xfId="62"/>
    <cellStyle name="20% - Ênfase1 100" xfId="1"/>
    <cellStyle name="60% - Ênfase6 37" xfId="2"/>
    <cellStyle name="Comma_Arauco Piping list" xfId="63"/>
    <cellStyle name="Comma0" xfId="64"/>
    <cellStyle name="CORES" xfId="65"/>
    <cellStyle name="Currency [0]_Arauco Piping list" xfId="66"/>
    <cellStyle name="Currency_Arauco Piping list" xfId="67"/>
    <cellStyle name="Currency0" xfId="68"/>
    <cellStyle name="Data" xfId="69"/>
    <cellStyle name="Date" xfId="70"/>
    <cellStyle name="Excel Built-in Excel Built-in Excel Built-in Excel Built-in Excel Built-in Excel Built-in Excel Built-in Excel Built-in Separador de milhares 4" xfId="3"/>
    <cellStyle name="Excel Built-in Excel Built-in Excel Built-in Excel Built-in Excel Built-in Excel Built-in Excel Built-in Separador de milhares 4" xfId="4"/>
    <cellStyle name="Excel Built-in Normal" xfId="5"/>
    <cellStyle name="Excel Built-in Normal 1" xfId="6"/>
    <cellStyle name="Excel Built-in Normal 2" xfId="30"/>
    <cellStyle name="Excel Built-in Normal 3" xfId="41"/>
    <cellStyle name="Excel_BuiltIn_Comma" xfId="7"/>
    <cellStyle name="Fixed" xfId="71"/>
    <cellStyle name="Fixo" xfId="72"/>
    <cellStyle name="Followed Hyperlink" xfId="73"/>
    <cellStyle name="Grey" xfId="74"/>
    <cellStyle name="Heading" xfId="8"/>
    <cellStyle name="Heading 1" xfId="75"/>
    <cellStyle name="Heading 2" xfId="76"/>
    <cellStyle name="Heading1" xfId="9"/>
    <cellStyle name="Hiperlink 2" xfId="31"/>
    <cellStyle name="Indefinido" xfId="77"/>
    <cellStyle name="Input [yellow]" xfId="78"/>
    <cellStyle name="material" xfId="79"/>
    <cellStyle name="MINIPG" xfId="80"/>
    <cellStyle name="Moeda 2" xfId="32"/>
    <cellStyle name="Normal" xfId="0" builtinId="0"/>
    <cellStyle name="Normal - Style1" xfId="81"/>
    <cellStyle name="Normal 10" xfId="46"/>
    <cellStyle name="Normal 10 2" xfId="178"/>
    <cellStyle name="Normal 11" xfId="51"/>
    <cellStyle name="Normal 12" xfId="48"/>
    <cellStyle name="Normal 13" xfId="49"/>
    <cellStyle name="Normal 13 2" xfId="120"/>
    <cellStyle name="Normal 13 2 2" xfId="188"/>
    <cellStyle name="Normal 13 2 2 2" xfId="313"/>
    <cellStyle name="Normal 13 2 3" xfId="281"/>
    <cellStyle name="Normal 13 3" xfId="121"/>
    <cellStyle name="Normal 13 3 2" xfId="189"/>
    <cellStyle name="Normal 13 3 2 2" xfId="314"/>
    <cellStyle name="Normal 13 3 3" xfId="282"/>
    <cellStyle name="Normal 13 4" xfId="176"/>
    <cellStyle name="Normal 13 4 2" xfId="242"/>
    <cellStyle name="Normal 13 4 2 2" xfId="357"/>
    <cellStyle name="Normal 13 4 3" xfId="250"/>
    <cellStyle name="Normal 13 4 3 2" xfId="360"/>
    <cellStyle name="Normal 13 4 4" xfId="190"/>
    <cellStyle name="Normal 13 4 4 2" xfId="315"/>
    <cellStyle name="Normal 13 4 5" xfId="308"/>
    <cellStyle name="Normal 13 5" xfId="240"/>
    <cellStyle name="Normal 13 5 2" xfId="355"/>
    <cellStyle name="Normal 13 6" xfId="187"/>
    <cellStyle name="Normal 13 6 2" xfId="312"/>
    <cellStyle name="Normal 13 7" xfId="270"/>
    <cellStyle name="Normal 14" xfId="52"/>
    <cellStyle name="Normal 14 2" xfId="122"/>
    <cellStyle name="Normal 14 2 2" xfId="192"/>
    <cellStyle name="Normal 14 2 2 2" xfId="317"/>
    <cellStyle name="Normal 14 2 3" xfId="283"/>
    <cellStyle name="Normal 14 3" xfId="123"/>
    <cellStyle name="Normal 14 3 2" xfId="193"/>
    <cellStyle name="Normal 14 3 2 2" xfId="318"/>
    <cellStyle name="Normal 14 3 3" xfId="284"/>
    <cellStyle name="Normal 14 4" xfId="191"/>
    <cellStyle name="Normal 14 4 2" xfId="316"/>
    <cellStyle name="Normal 14 5" xfId="272"/>
    <cellStyle name="Normal 15" xfId="60"/>
    <cellStyle name="Normal 15 2" xfId="124"/>
    <cellStyle name="Normal 16" xfId="95"/>
    <cellStyle name="Normal 16 2" xfId="125"/>
    <cellStyle name="Normal 16 2 2" xfId="195"/>
    <cellStyle name="Normal 16 2 2 2" xfId="320"/>
    <cellStyle name="Normal 16 2 3" xfId="285"/>
    <cellStyle name="Normal 16 3" xfId="126"/>
    <cellStyle name="Normal 16 3 2" xfId="196"/>
    <cellStyle name="Normal 16 3 2 2" xfId="321"/>
    <cellStyle name="Normal 16 3 3" xfId="286"/>
    <cellStyle name="Normal 16 4" xfId="194"/>
    <cellStyle name="Normal 16 4 2" xfId="319"/>
    <cellStyle name="Normal 16 5" xfId="277"/>
    <cellStyle name="Normal 17" xfId="105"/>
    <cellStyle name="Normal 18" xfId="109"/>
    <cellStyle name="Normal 19" xfId="101"/>
    <cellStyle name="Normal 2" xfId="10"/>
    <cellStyle name="Normal 2 2" xfId="17"/>
    <cellStyle name="Normal 2 2 2" xfId="244"/>
    <cellStyle name="Normal 20" xfId="103"/>
    <cellStyle name="Normal 21" xfId="106"/>
    <cellStyle name="Normal 22" xfId="99"/>
    <cellStyle name="Normal 23" xfId="97"/>
    <cellStyle name="Normal 24" xfId="98"/>
    <cellStyle name="Normal 25" xfId="111"/>
    <cellStyle name="Normal 26" xfId="115"/>
    <cellStyle name="Normal 27" xfId="113"/>
    <cellStyle name="Normal 28" xfId="112"/>
    <cellStyle name="Normal 29" xfId="107"/>
    <cellStyle name="Normal 3" xfId="18"/>
    <cellStyle name="Normal 3 2" xfId="19"/>
    <cellStyle name="Normal 3 3" xfId="27"/>
    <cellStyle name="Normal 30" xfId="96"/>
    <cellStyle name="Normal 31" xfId="110"/>
    <cellStyle name="Normal 32" xfId="100"/>
    <cellStyle name="Normal 33" xfId="104"/>
    <cellStyle name="Normal 34" xfId="114"/>
    <cellStyle name="Normal 35" xfId="108"/>
    <cellStyle name="Normal 36" xfId="102"/>
    <cellStyle name="Normal 37" xfId="119"/>
    <cellStyle name="Normal 37 2" xfId="127"/>
    <cellStyle name="Normal 37 2 2" xfId="198"/>
    <cellStyle name="Normal 37 2 2 2" xfId="323"/>
    <cellStyle name="Normal 37 2 3" xfId="287"/>
    <cellStyle name="Normal 37 3" xfId="197"/>
    <cellStyle name="Normal 37 3 2" xfId="322"/>
    <cellStyle name="Normal 37 4" xfId="280"/>
    <cellStyle name="Normal 38" xfId="128"/>
    <cellStyle name="Normal 38 2" xfId="199"/>
    <cellStyle name="Normal 38 2 2" xfId="324"/>
    <cellStyle name="Normal 38 3" xfId="288"/>
    <cellStyle name="Normal 39" xfId="129"/>
    <cellStyle name="Normal 4" xfId="20"/>
    <cellStyle name="Normal 4 2" xfId="245"/>
    <cellStyle name="Normal 40" xfId="130"/>
    <cellStyle name="Normal 41" xfId="131"/>
    <cellStyle name="Normal 42" xfId="132"/>
    <cellStyle name="Normal 43" xfId="133"/>
    <cellStyle name="Normal 44" xfId="134"/>
    <cellStyle name="Normal 45" xfId="135"/>
    <cellStyle name="Normal 46" xfId="136"/>
    <cellStyle name="Normal 47" xfId="137"/>
    <cellStyle name="Normal 48" xfId="138"/>
    <cellStyle name="Normal 49" xfId="139"/>
    <cellStyle name="Normal 5" xfId="23"/>
    <cellStyle name="Normal 5 2" xfId="53"/>
    <cellStyle name="Normal 5 2 2" xfId="140"/>
    <cellStyle name="Normal 5 2 2 2" xfId="202"/>
    <cellStyle name="Normal 5 2 2 2 2" xfId="327"/>
    <cellStyle name="Normal 5 2 2 3" xfId="289"/>
    <cellStyle name="Normal 5 2 3" xfId="141"/>
    <cellStyle name="Normal 5 2 3 2" xfId="203"/>
    <cellStyle name="Normal 5 2 3 2 2" xfId="328"/>
    <cellStyle name="Normal 5 2 3 3" xfId="290"/>
    <cellStyle name="Normal 5 2 4" xfId="201"/>
    <cellStyle name="Normal 5 2 4 2" xfId="326"/>
    <cellStyle name="Normal 5 2 5" xfId="273"/>
    <cellStyle name="Normal 5 3" xfId="142"/>
    <cellStyle name="Normal 5 3 2" xfId="204"/>
    <cellStyle name="Normal 5 3 2 2" xfId="329"/>
    <cellStyle name="Normal 5 3 3" xfId="291"/>
    <cellStyle name="Normal 5 4" xfId="143"/>
    <cellStyle name="Normal 5 4 2" xfId="205"/>
    <cellStyle name="Normal 5 4 2 2" xfId="330"/>
    <cellStyle name="Normal 5 4 3" xfId="292"/>
    <cellStyle name="Normal 5 5" xfId="200"/>
    <cellStyle name="Normal 5 5 2" xfId="325"/>
    <cellStyle name="Normal 5 6" xfId="267"/>
    <cellStyle name="Normal 50" xfId="144"/>
    <cellStyle name="Normal 51" xfId="145"/>
    <cellStyle name="Normal 52" xfId="146"/>
    <cellStyle name="Normal 53" xfId="147"/>
    <cellStyle name="Normal 54" xfId="148"/>
    <cellStyle name="Normal 55" xfId="149"/>
    <cellStyle name="Normal 56" xfId="150"/>
    <cellStyle name="Normal 57" xfId="151"/>
    <cellStyle name="Normal 58" xfId="152"/>
    <cellStyle name="Normal 59" xfId="153"/>
    <cellStyle name="Normal 6" xfId="24"/>
    <cellStyle name="Normal 6 2" xfId="42"/>
    <cellStyle name="Normal 6 2 2" xfId="54"/>
    <cellStyle name="Normal 6 2 2 2" xfId="154"/>
    <cellStyle name="Normal 6 2 2 2 2" xfId="209"/>
    <cellStyle name="Normal 6 2 2 2 2 2" xfId="333"/>
    <cellStyle name="Normal 6 2 2 2 3" xfId="293"/>
    <cellStyle name="Normal 6 2 2 3" xfId="155"/>
    <cellStyle name="Normal 6 2 2 3 2" xfId="210"/>
    <cellStyle name="Normal 6 2 2 3 2 2" xfId="334"/>
    <cellStyle name="Normal 6 2 2 3 3" xfId="294"/>
    <cellStyle name="Normal 6 2 2 4" xfId="208"/>
    <cellStyle name="Normal 6 2 2 4 2" xfId="332"/>
    <cellStyle name="Normal 6 2 2 5" xfId="274"/>
    <cellStyle name="Normal 6 2 3" xfId="156"/>
    <cellStyle name="Normal 6 2 3 2" xfId="211"/>
    <cellStyle name="Normal 6 2 3 2 2" xfId="335"/>
    <cellStyle name="Normal 6 2 3 3" xfId="295"/>
    <cellStyle name="Normal 6 2 4" xfId="157"/>
    <cellStyle name="Normal 6 2 4 2" xfId="212"/>
    <cellStyle name="Normal 6 2 4 2 2" xfId="336"/>
    <cellStyle name="Normal 6 2 4 3" xfId="296"/>
    <cellStyle name="Normal 6 2 5" xfId="207"/>
    <cellStyle name="Normal 6 2 5 2" xfId="331"/>
    <cellStyle name="Normal 6 2 6" xfId="269"/>
    <cellStyle name="Normal 6 3" xfId="55"/>
    <cellStyle name="Normal 6 3 2" xfId="158"/>
    <cellStyle name="Normal 6 3 2 2" xfId="214"/>
    <cellStyle name="Normal 6 3 2 2 2" xfId="338"/>
    <cellStyle name="Normal 6 3 2 3" xfId="297"/>
    <cellStyle name="Normal 6 3 3" xfId="159"/>
    <cellStyle name="Normal 6 3 3 2" xfId="215"/>
    <cellStyle name="Normal 6 3 3 2 2" xfId="339"/>
    <cellStyle name="Normal 6 3 3 3" xfId="298"/>
    <cellStyle name="Normal 6 3 4" xfId="213"/>
    <cellStyle name="Normal 6 3 4 2" xfId="337"/>
    <cellStyle name="Normal 6 3 5" xfId="275"/>
    <cellStyle name="Normal 6 4" xfId="160"/>
    <cellStyle name="Normal 6 4 2" xfId="216"/>
    <cellStyle name="Normal 6 4 2 2" xfId="340"/>
    <cellStyle name="Normal 6 4 3" xfId="299"/>
    <cellStyle name="Normal 6 5" xfId="161"/>
    <cellStyle name="Normal 6 5 2" xfId="217"/>
    <cellStyle name="Normal 6 5 2 2" xfId="341"/>
    <cellStyle name="Normal 6 5 3" xfId="300"/>
    <cellStyle name="Normal 6 6" xfId="180"/>
    <cellStyle name="Normal 6 6 2" xfId="311"/>
    <cellStyle name="Normal 6 7" xfId="268"/>
    <cellStyle name="Normal 60" xfId="162"/>
    <cellStyle name="Normal 61" xfId="163"/>
    <cellStyle name="Normal 62" xfId="164"/>
    <cellStyle name="Normal 63" xfId="165"/>
    <cellStyle name="Normal 64" xfId="173"/>
    <cellStyle name="Normal 64 2" xfId="251"/>
    <cellStyle name="Normal 64 3" xfId="218"/>
    <cellStyle name="Normal 65" xfId="246"/>
    <cellStyle name="Normal 65 2" xfId="359"/>
    <cellStyle name="Normal 66" xfId="255"/>
    <cellStyle name="Normal 67" xfId="179"/>
    <cellStyle name="Normal 67 2" xfId="310"/>
    <cellStyle name="Normal 68" xfId="239"/>
    <cellStyle name="Normal 68 2" xfId="354"/>
    <cellStyle name="Normal 69" xfId="220"/>
    <cellStyle name="Normal 7" xfId="25"/>
    <cellStyle name="Normal 7 2" xfId="39"/>
    <cellStyle name="Normal 70" xfId="263"/>
    <cellStyle name="Normal 71" xfId="259"/>
    <cellStyle name="Normal 72" xfId="225"/>
    <cellStyle name="Normal 73" xfId="185"/>
    <cellStyle name="Normal 74" xfId="182"/>
    <cellStyle name="Normal 75" xfId="262"/>
    <cellStyle name="Normal 76" xfId="265"/>
    <cellStyle name="Normal 77" xfId="264"/>
    <cellStyle name="Normal 78" xfId="256"/>
    <cellStyle name="Normal 79" xfId="183"/>
    <cellStyle name="Normal 8" xfId="40"/>
    <cellStyle name="Normal 8 2" xfId="56"/>
    <cellStyle name="Normal 80" xfId="181"/>
    <cellStyle name="Normal 81" xfId="261"/>
    <cellStyle name="Normal 82" xfId="226"/>
    <cellStyle name="Normal 83" xfId="184"/>
    <cellStyle name="Normal 84" xfId="224"/>
    <cellStyle name="Normal 85" xfId="229"/>
    <cellStyle name="Normal 86" xfId="260"/>
    <cellStyle name="Normal 87" xfId="206"/>
    <cellStyle name="Normal 88" xfId="257"/>
    <cellStyle name="Normal 89" xfId="266"/>
    <cellStyle name="Normal 9" xfId="47"/>
    <cellStyle name="Normal 90" xfId="186"/>
    <cellStyle name="Normal 91" xfId="219"/>
    <cellStyle name="Normal 92" xfId="258"/>
    <cellStyle name="Normal1" xfId="82"/>
    <cellStyle name="Normal2" xfId="83"/>
    <cellStyle name="Normal3" xfId="84"/>
    <cellStyle name="Percent [2]" xfId="85"/>
    <cellStyle name="Percent_Sheet1" xfId="86"/>
    <cellStyle name="Percentual" xfId="87"/>
    <cellStyle name="Ponto" xfId="88"/>
    <cellStyle name="Porcentagem 2" xfId="11"/>
    <cellStyle name="Porcentagem 2 2" xfId="252"/>
    <cellStyle name="Porcentagem 3" xfId="33"/>
    <cellStyle name="Porcentagem 3 2" xfId="43"/>
    <cellStyle name="Porcentagem 4" xfId="29"/>
    <cellStyle name="Porcentagem 4 2" xfId="34"/>
    <cellStyle name="Porcentagem 4 2 2" xfId="247"/>
    <cellStyle name="Porcentagem 5" xfId="61"/>
    <cellStyle name="Porcentagem 6" xfId="116"/>
    <cellStyle name="Porcentagem 6 2" xfId="166"/>
    <cellStyle name="Porcentagem 6 2 2" xfId="222"/>
    <cellStyle name="Porcentagem 6 2 2 2" xfId="343"/>
    <cellStyle name="Porcentagem 6 2 3" xfId="301"/>
    <cellStyle name="Porcentagem 6 3" xfId="221"/>
    <cellStyle name="Porcentagem 6 3 2" xfId="342"/>
    <cellStyle name="Porcentagem 6 4" xfId="278"/>
    <cellStyle name="Porcentagem 7" xfId="175"/>
    <cellStyle name="Porcentagem 7 2" xfId="223"/>
    <cellStyle name="Result" xfId="12"/>
    <cellStyle name="Result2" xfId="13"/>
    <cellStyle name="Sep. milhar [0]" xfId="89"/>
    <cellStyle name="Separador de m" xfId="90"/>
    <cellStyle name="Separador de milhares 2" xfId="15"/>
    <cellStyle name="Separador de milhares 2 2" xfId="21"/>
    <cellStyle name="Separador de milhares 3" xfId="22"/>
    <cellStyle name="Separador de milhares 4" xfId="16"/>
    <cellStyle name="Sepavador de milhares [0]_Pasta2" xfId="91"/>
    <cellStyle name="Standard_RP100_01 (metr.)" xfId="92"/>
    <cellStyle name="Titulo1" xfId="93"/>
    <cellStyle name="Titulo2" xfId="94"/>
    <cellStyle name="Vírgula" xfId="14" builtinId="3"/>
    <cellStyle name="Vírgula 10" xfId="117"/>
    <cellStyle name="Vírgula 10 2" xfId="167"/>
    <cellStyle name="Vírgula 10 2 2" xfId="228"/>
    <cellStyle name="Vírgula 10 2 2 2" xfId="345"/>
    <cellStyle name="Vírgula 10 2 3" xfId="302"/>
    <cellStyle name="Vírgula 10 3" xfId="227"/>
    <cellStyle name="Vírgula 10 3 2" xfId="344"/>
    <cellStyle name="Vírgula 10 4" xfId="279"/>
    <cellStyle name="Vírgula 11" xfId="118"/>
    <cellStyle name="Vírgula 12" xfId="168"/>
    <cellStyle name="Vírgula 12 2" xfId="230"/>
    <cellStyle name="Vírgula 12 2 2" xfId="346"/>
    <cellStyle name="Vírgula 12 3" xfId="303"/>
    <cellStyle name="Vírgula 13" xfId="174"/>
    <cellStyle name="Vírgula 13 2" xfId="231"/>
    <cellStyle name="Vírgula 2" xfId="26"/>
    <cellStyle name="Vírgula 2 2" xfId="45"/>
    <cellStyle name="Vírgula 2 3" xfId="253"/>
    <cellStyle name="Vírgula 2 4" xfId="254"/>
    <cellStyle name="Vírgula 3" xfId="35"/>
    <cellStyle name="Vírgula 3 2" xfId="36"/>
    <cellStyle name="Vírgula 4" xfId="37"/>
    <cellStyle name="Vírgula 5" xfId="28"/>
    <cellStyle name="Vírgula 5 2" xfId="38"/>
    <cellStyle name="Vírgula 5 2 2" xfId="248"/>
    <cellStyle name="Vírgula 6" xfId="44"/>
    <cellStyle name="Vírgula 6 2" xfId="57"/>
    <cellStyle name="Vírgula 6 3" xfId="249"/>
    <cellStyle name="Vírgula 7" xfId="50"/>
    <cellStyle name="Vírgula 7 2" xfId="169"/>
    <cellStyle name="Vírgula 7 2 2" xfId="233"/>
    <cellStyle name="Vírgula 7 2 2 2" xfId="348"/>
    <cellStyle name="Vírgula 7 2 3" xfId="304"/>
    <cellStyle name="Vírgula 7 3" xfId="170"/>
    <cellStyle name="Vírgula 7 3 2" xfId="234"/>
    <cellStyle name="Vírgula 7 3 2 2" xfId="349"/>
    <cellStyle name="Vírgula 7 3 3" xfId="305"/>
    <cellStyle name="Vírgula 7 4" xfId="177"/>
    <cellStyle name="Vírgula 7 4 2" xfId="243"/>
    <cellStyle name="Vírgula 7 4 2 2" xfId="358"/>
    <cellStyle name="Vírgula 7 4 3" xfId="235"/>
    <cellStyle name="Vírgula 7 4 3 2" xfId="350"/>
    <cellStyle name="Vírgula 7 4 4" xfId="309"/>
    <cellStyle name="Vírgula 7 5" xfId="241"/>
    <cellStyle name="Vírgula 7 5 2" xfId="356"/>
    <cellStyle name="Vírgula 7 6" xfId="232"/>
    <cellStyle name="Vírgula 7 6 2" xfId="347"/>
    <cellStyle name="Vírgula 7 7" xfId="271"/>
    <cellStyle name="Vírgula 8" xfId="58"/>
    <cellStyle name="Vírgula 8 2" xfId="171"/>
    <cellStyle name="Vírgula 8 2 2" xfId="237"/>
    <cellStyle name="Vírgula 8 2 2 2" xfId="352"/>
    <cellStyle name="Vírgula 8 2 3" xfId="306"/>
    <cellStyle name="Vírgula 8 3" xfId="172"/>
    <cellStyle name="Vírgula 8 3 2" xfId="238"/>
    <cellStyle name="Vírgula 8 3 2 2" xfId="353"/>
    <cellStyle name="Vírgula 8 3 3" xfId="307"/>
    <cellStyle name="Vírgula 8 4" xfId="236"/>
    <cellStyle name="Vírgula 8 4 2" xfId="351"/>
    <cellStyle name="Vírgula 8 5" xfId="276"/>
    <cellStyle name="Vírgula 9" xfId="59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4"/>
  <sheetViews>
    <sheetView showGridLines="0" topLeftCell="A5" zoomScale="85" zoomScaleNormal="85" zoomScaleSheetLayoutView="70" workbookViewId="0">
      <pane xSplit="5" ySplit="9" topLeftCell="H231" activePane="bottomRight" state="frozen"/>
      <selection activeCell="A5" sqref="A5"/>
      <selection pane="topRight" activeCell="F5" sqref="F5"/>
      <selection pane="bottomLeft" activeCell="A14" sqref="A14"/>
      <selection pane="bottomRight" activeCell="J236" sqref="J236"/>
    </sheetView>
  </sheetViews>
  <sheetFormatPr defaultColWidth="9" defaultRowHeight="12.75" outlineLevelRow="1"/>
  <cols>
    <col min="1" max="1" width="2.5" style="5" customWidth="1"/>
    <col min="2" max="2" width="9.625" style="6" customWidth="1"/>
    <col min="3" max="4" width="12.625" style="6" customWidth="1"/>
    <col min="5" max="5" width="75.625" style="184" customWidth="1"/>
    <col min="6" max="6" width="7.625" style="5" customWidth="1"/>
    <col min="7" max="7" width="12.625" style="14" customWidth="1"/>
    <col min="8" max="8" width="15.625" style="14" customWidth="1"/>
    <col min="9" max="9" width="15.625" style="5" customWidth="1"/>
    <col min="10" max="10" width="17.625" style="5" customWidth="1"/>
    <col min="11" max="11" width="10.5" style="130" bestFit="1" customWidth="1"/>
    <col min="12" max="16384" width="9" style="130"/>
  </cols>
  <sheetData>
    <row r="1" spans="1:10" ht="12.75" customHeight="1">
      <c r="A1" s="37"/>
      <c r="B1" s="215" t="s">
        <v>210</v>
      </c>
      <c r="C1" s="215"/>
      <c r="D1" s="215"/>
      <c r="E1" s="215"/>
      <c r="F1" s="215"/>
      <c r="G1" s="215"/>
      <c r="H1" s="215"/>
      <c r="I1" s="215"/>
      <c r="J1" s="216"/>
    </row>
    <row r="2" spans="1:10" ht="14.25" customHeight="1">
      <c r="A2" s="37"/>
      <c r="B2" s="217"/>
      <c r="C2" s="217"/>
      <c r="D2" s="217"/>
      <c r="E2" s="217"/>
      <c r="F2" s="217"/>
      <c r="G2" s="217"/>
      <c r="H2" s="217"/>
      <c r="I2" s="217"/>
      <c r="J2" s="218"/>
    </row>
    <row r="3" spans="1:10" ht="15" customHeight="1" thickBot="1">
      <c r="A3" s="37"/>
      <c r="B3" s="219"/>
      <c r="C3" s="219"/>
      <c r="D3" s="219"/>
      <c r="E3" s="219"/>
      <c r="F3" s="219"/>
      <c r="G3" s="219"/>
      <c r="H3" s="219"/>
      <c r="I3" s="219"/>
      <c r="J3" s="220"/>
    </row>
    <row r="4" spans="1:10" ht="20.100000000000001" customHeight="1">
      <c r="A4" s="1"/>
      <c r="B4" s="2"/>
      <c r="C4" s="2"/>
      <c r="D4" s="2"/>
      <c r="E4" s="1"/>
      <c r="F4" s="1"/>
      <c r="G4" s="181"/>
      <c r="H4" s="181"/>
      <c r="I4" s="1"/>
      <c r="J4" s="1"/>
    </row>
    <row r="5" spans="1:10" ht="20.100000000000001" customHeight="1">
      <c r="A5" s="121"/>
      <c r="B5" s="121" t="str">
        <f>cronograma!A4</f>
        <v>Obra: Construção da ESF</v>
      </c>
      <c r="C5" s="122"/>
      <c r="D5" s="122"/>
      <c r="E5" s="3"/>
      <c r="F5" s="42"/>
      <c r="G5" s="16"/>
      <c r="H5" s="16"/>
      <c r="I5" s="42"/>
    </row>
    <row r="6" spans="1:10" ht="20.100000000000001" customHeight="1">
      <c r="A6" s="121"/>
      <c r="B6" s="121" t="s">
        <v>304</v>
      </c>
      <c r="C6" s="122"/>
      <c r="D6" s="122"/>
      <c r="E6" s="190"/>
      <c r="F6" s="221"/>
      <c r="G6" s="221"/>
      <c r="H6" s="221"/>
      <c r="I6" s="221"/>
      <c r="J6" s="221"/>
    </row>
    <row r="7" spans="1:10" ht="20.100000000000001" customHeight="1">
      <c r="A7" s="21"/>
      <c r="B7" s="121" t="str">
        <f>cronograma!A5</f>
        <v>Município: Corguinho/MS</v>
      </c>
      <c r="C7" s="122"/>
      <c r="D7" s="122"/>
      <c r="E7" s="3"/>
      <c r="F7" s="42"/>
      <c r="G7" s="16"/>
      <c r="H7" s="16"/>
      <c r="I7" s="168" t="s">
        <v>295</v>
      </c>
    </row>
    <row r="8" spans="1:10" ht="20.100000000000001" customHeight="1">
      <c r="A8" s="8"/>
      <c r="B8" s="121" t="str">
        <f>cronograma!A6</f>
        <v xml:space="preserve">Endereço: </v>
      </c>
      <c r="C8" s="8"/>
      <c r="D8" s="8"/>
      <c r="E8" s="183"/>
      <c r="F8" s="8"/>
      <c r="G8" s="123"/>
      <c r="H8" s="123"/>
      <c r="I8" s="168" t="s">
        <v>294</v>
      </c>
      <c r="J8" s="145"/>
    </row>
    <row r="9" spans="1:10" ht="20.100000000000001" customHeight="1">
      <c r="I9" s="195" t="s">
        <v>366</v>
      </c>
      <c r="J9" s="196">
        <v>0.28820000000000001</v>
      </c>
    </row>
    <row r="10" spans="1:10" ht="20.100000000000001" customHeight="1">
      <c r="A10" s="123"/>
      <c r="B10" s="124"/>
      <c r="C10" s="124"/>
      <c r="D10" s="124"/>
      <c r="E10" s="117" t="s">
        <v>302</v>
      </c>
      <c r="F10" s="124"/>
      <c r="G10" s="18"/>
      <c r="H10" s="18"/>
      <c r="I10" s="147"/>
      <c r="J10" s="148"/>
    </row>
    <row r="11" spans="1:10" ht="20.100000000000001" customHeight="1" thickBot="1">
      <c r="A11" s="123"/>
      <c r="B11" s="123"/>
      <c r="C11" s="123"/>
      <c r="D11" s="123"/>
      <c r="E11" s="185"/>
      <c r="F11" s="123"/>
      <c r="G11" s="17"/>
      <c r="H11" s="17"/>
      <c r="I11" s="123"/>
      <c r="J11" s="149"/>
    </row>
    <row r="12" spans="1:10" ht="44.25" customHeight="1" thickBot="1">
      <c r="A12" s="4"/>
      <c r="B12" s="43" t="s">
        <v>16</v>
      </c>
      <c r="C12" s="38" t="s">
        <v>17</v>
      </c>
      <c r="D12" s="38" t="s">
        <v>18</v>
      </c>
      <c r="E12" s="38" t="s">
        <v>19</v>
      </c>
      <c r="F12" s="38" t="s">
        <v>145</v>
      </c>
      <c r="G12" s="39" t="s">
        <v>20</v>
      </c>
      <c r="H12" s="40" t="s">
        <v>201</v>
      </c>
      <c r="I12" s="40" t="s">
        <v>202</v>
      </c>
      <c r="J12" s="41" t="s">
        <v>21</v>
      </c>
    </row>
    <row r="13" spans="1:10" ht="20.100000000000001" customHeight="1">
      <c r="A13" s="21"/>
      <c r="B13" s="222" t="s">
        <v>231</v>
      </c>
      <c r="C13" s="222"/>
      <c r="D13" s="222"/>
      <c r="E13" s="222"/>
      <c r="F13" s="222"/>
      <c r="G13" s="222"/>
      <c r="H13" s="222"/>
      <c r="I13" s="222"/>
      <c r="J13" s="222"/>
    </row>
    <row r="14" spans="1:10" ht="20.100000000000001" customHeight="1">
      <c r="A14" s="21"/>
      <c r="B14" s="125">
        <v>1</v>
      </c>
      <c r="C14" s="125"/>
      <c r="D14" s="125"/>
      <c r="E14" s="186" t="s">
        <v>109</v>
      </c>
      <c r="F14" s="120"/>
      <c r="G14" s="150"/>
      <c r="H14" s="151"/>
      <c r="I14" s="125"/>
      <c r="J14" s="152">
        <f>J20</f>
        <v>46401.83</v>
      </c>
    </row>
    <row r="15" spans="1:10" ht="20.100000000000001" customHeight="1" outlineLevel="1">
      <c r="A15" s="21"/>
      <c r="B15" s="119" t="s">
        <v>22</v>
      </c>
      <c r="C15" s="119" t="s">
        <v>375</v>
      </c>
      <c r="D15" s="12" t="s">
        <v>209</v>
      </c>
      <c r="E15" s="104" t="s">
        <v>206</v>
      </c>
      <c r="F15" s="119" t="s">
        <v>28</v>
      </c>
      <c r="G15" s="153">
        <v>8</v>
      </c>
      <c r="H15" s="154">
        <v>365.38</v>
      </c>
      <c r="I15" s="153">
        <f t="shared" ref="I15:I19" si="0">H15*1.2882</f>
        <v>470.68251600000002</v>
      </c>
      <c r="J15" s="153">
        <f t="shared" ref="J15:J19" si="1">TRUNC(I15*G15,2)</f>
        <v>3765.46</v>
      </c>
    </row>
    <row r="16" spans="1:10" s="134" customFormat="1" ht="20.100000000000001" customHeight="1" outlineLevel="1">
      <c r="A16" s="131"/>
      <c r="B16" s="119" t="s">
        <v>36</v>
      </c>
      <c r="C16" s="200" t="s">
        <v>377</v>
      </c>
      <c r="D16" s="199" t="s">
        <v>378</v>
      </c>
      <c r="E16" s="201" t="s">
        <v>379</v>
      </c>
      <c r="F16" s="209" t="s">
        <v>320</v>
      </c>
      <c r="G16" s="204">
        <v>60</v>
      </c>
      <c r="H16" s="204">
        <v>5.2</v>
      </c>
      <c r="I16" s="153">
        <f t="shared" si="0"/>
        <v>6.6986400000000001</v>
      </c>
      <c r="J16" s="213">
        <f t="shared" si="1"/>
        <v>401.91</v>
      </c>
    </row>
    <row r="17" spans="1:10" s="134" customFormat="1" ht="20.100000000000001" customHeight="1" outlineLevel="1">
      <c r="A17" s="131"/>
      <c r="B17" s="119" t="s">
        <v>38</v>
      </c>
      <c r="C17" s="200" t="s">
        <v>380</v>
      </c>
      <c r="D17" s="199" t="s">
        <v>378</v>
      </c>
      <c r="E17" s="202" t="s">
        <v>381</v>
      </c>
      <c r="F17" s="210" t="s">
        <v>382</v>
      </c>
      <c r="G17" s="204">
        <v>2000</v>
      </c>
      <c r="H17" s="204">
        <v>0.63</v>
      </c>
      <c r="I17" s="153">
        <f t="shared" si="0"/>
        <v>0.81156600000000001</v>
      </c>
      <c r="J17" s="213">
        <f t="shared" si="1"/>
        <v>1623.13</v>
      </c>
    </row>
    <row r="18" spans="1:10" s="134" customFormat="1" ht="20.100000000000001" customHeight="1" outlineLevel="1">
      <c r="A18" s="131"/>
      <c r="B18" s="119" t="s">
        <v>39</v>
      </c>
      <c r="C18" s="135">
        <v>93584</v>
      </c>
      <c r="D18" s="136" t="s">
        <v>37</v>
      </c>
      <c r="E18" s="137" t="s">
        <v>208</v>
      </c>
      <c r="F18" s="119" t="s">
        <v>28</v>
      </c>
      <c r="G18" s="154">
        <v>20</v>
      </c>
      <c r="H18" s="154">
        <v>565.71</v>
      </c>
      <c r="I18" s="153">
        <f t="shared" si="0"/>
        <v>728.74762200000009</v>
      </c>
      <c r="J18" s="213">
        <f t="shared" si="1"/>
        <v>14574.95</v>
      </c>
    </row>
    <row r="19" spans="1:10" ht="29.45" customHeight="1" outlineLevel="1">
      <c r="A19" s="21"/>
      <c r="B19" s="119" t="s">
        <v>40</v>
      </c>
      <c r="C19" s="119">
        <v>99059</v>
      </c>
      <c r="D19" s="12" t="s">
        <v>209</v>
      </c>
      <c r="E19" s="115" t="s">
        <v>296</v>
      </c>
      <c r="F19" s="119" t="s">
        <v>297</v>
      </c>
      <c r="G19" s="153">
        <f>G75</f>
        <v>635.98</v>
      </c>
      <c r="H19" s="154">
        <f>31.78</f>
        <v>31.78</v>
      </c>
      <c r="I19" s="153">
        <f t="shared" si="0"/>
        <v>40.938996000000003</v>
      </c>
      <c r="J19" s="213">
        <f t="shared" si="1"/>
        <v>26036.38</v>
      </c>
    </row>
    <row r="20" spans="1:10" ht="20.100000000000001" customHeight="1" outlineLevel="1">
      <c r="A20" s="21"/>
      <c r="B20" s="127"/>
      <c r="C20" s="127"/>
      <c r="D20" s="127"/>
      <c r="E20" s="127"/>
      <c r="F20" s="127"/>
      <c r="G20" s="11"/>
      <c r="H20" s="143" t="s">
        <v>61</v>
      </c>
      <c r="I20" s="11"/>
      <c r="J20" s="155">
        <f>SUM(J15:J19)</f>
        <v>46401.83</v>
      </c>
    </row>
    <row r="21" spans="1:10" ht="20.100000000000001" customHeight="1">
      <c r="A21" s="21"/>
      <c r="B21" s="21"/>
      <c r="C21" s="21">
        <v>72899</v>
      </c>
      <c r="D21" s="21"/>
      <c r="E21" s="3"/>
      <c r="F21" s="21"/>
      <c r="G21" s="15"/>
      <c r="H21" s="156"/>
      <c r="I21" s="21"/>
      <c r="J21" s="157"/>
    </row>
    <row r="22" spans="1:10" ht="20.100000000000001" customHeight="1">
      <c r="A22" s="21"/>
      <c r="B22" s="125">
        <v>2</v>
      </c>
      <c r="C22" s="125"/>
      <c r="D22" s="125"/>
      <c r="E22" s="187" t="s">
        <v>314</v>
      </c>
      <c r="F22" s="120"/>
      <c r="G22" s="150"/>
      <c r="H22" s="158"/>
      <c r="I22" s="125"/>
      <c r="J22" s="152">
        <f>J29</f>
        <v>9525.82</v>
      </c>
    </row>
    <row r="23" spans="1:10" ht="20.100000000000001" customHeight="1">
      <c r="A23" s="21"/>
      <c r="B23" s="116" t="s">
        <v>24</v>
      </c>
      <c r="C23" s="191">
        <v>97627</v>
      </c>
      <c r="D23" s="119" t="s">
        <v>209</v>
      </c>
      <c r="E23" s="192" t="s">
        <v>315</v>
      </c>
      <c r="F23" s="116" t="s">
        <v>320</v>
      </c>
      <c r="G23" s="153">
        <f>G24*0.3</f>
        <v>12.6</v>
      </c>
      <c r="H23" s="154">
        <v>196.31</v>
      </c>
      <c r="I23" s="153">
        <f t="shared" ref="I23:I28" si="2">H23*1.2882</f>
        <v>252.88654199999999</v>
      </c>
      <c r="J23" s="213">
        <f t="shared" ref="J23:J28" si="3">TRUNC(I23*G23,2)</f>
        <v>3186.37</v>
      </c>
    </row>
    <row r="24" spans="1:10" ht="20.100000000000001" customHeight="1">
      <c r="A24" s="21"/>
      <c r="B24" s="116" t="s">
        <v>41</v>
      </c>
      <c r="C24" s="191">
        <v>97622</v>
      </c>
      <c r="D24" s="119" t="s">
        <v>209</v>
      </c>
      <c r="E24" s="192" t="s">
        <v>316</v>
      </c>
      <c r="F24" s="116" t="s">
        <v>320</v>
      </c>
      <c r="G24" s="153">
        <f>(60*3.5*0.2)</f>
        <v>42</v>
      </c>
      <c r="H24" s="154">
        <v>36.880000000000003</v>
      </c>
      <c r="I24" s="153">
        <f t="shared" si="2"/>
        <v>47.508816000000003</v>
      </c>
      <c r="J24" s="213">
        <f t="shared" si="3"/>
        <v>1995.37</v>
      </c>
    </row>
    <row r="25" spans="1:10" ht="20.100000000000001" customHeight="1">
      <c r="A25" s="21"/>
      <c r="B25" s="116" t="s">
        <v>42</v>
      </c>
      <c r="C25" s="191">
        <v>97640</v>
      </c>
      <c r="D25" s="119" t="s">
        <v>209</v>
      </c>
      <c r="E25" s="192" t="s">
        <v>350</v>
      </c>
      <c r="F25" s="116" t="s">
        <v>321</v>
      </c>
      <c r="G25" s="153">
        <f>G24</f>
        <v>42</v>
      </c>
      <c r="H25" s="154">
        <v>1.1399999999999999</v>
      </c>
      <c r="I25" s="153">
        <f t="shared" si="2"/>
        <v>1.468548</v>
      </c>
      <c r="J25" s="213">
        <f t="shared" si="3"/>
        <v>61.67</v>
      </c>
    </row>
    <row r="26" spans="1:10" ht="20.100000000000001" customHeight="1">
      <c r="A26" s="21"/>
      <c r="B26" s="116" t="s">
        <v>43</v>
      </c>
      <c r="C26" s="191">
        <v>97634</v>
      </c>
      <c r="D26" s="119" t="s">
        <v>209</v>
      </c>
      <c r="E26" s="192" t="s">
        <v>317</v>
      </c>
      <c r="F26" s="116" t="s">
        <v>321</v>
      </c>
      <c r="G26" s="153">
        <f>15*3</f>
        <v>45</v>
      </c>
      <c r="H26" s="154">
        <v>8.5299999999999994</v>
      </c>
      <c r="I26" s="153">
        <f t="shared" si="2"/>
        <v>10.988346</v>
      </c>
      <c r="J26" s="213">
        <f t="shared" si="3"/>
        <v>494.47</v>
      </c>
    </row>
    <row r="27" spans="1:10" ht="20.100000000000001" customHeight="1">
      <c r="A27" s="21"/>
      <c r="B27" s="116" t="s">
        <v>299</v>
      </c>
      <c r="C27" s="191">
        <v>97647</v>
      </c>
      <c r="D27" s="119" t="s">
        <v>209</v>
      </c>
      <c r="E27" s="192" t="s">
        <v>318</v>
      </c>
      <c r="F27" s="116" t="s">
        <v>321</v>
      </c>
      <c r="G27" s="153">
        <v>84.85</v>
      </c>
      <c r="H27" s="154">
        <v>2.2799999999999998</v>
      </c>
      <c r="I27" s="153">
        <f t="shared" si="2"/>
        <v>2.9370959999999999</v>
      </c>
      <c r="J27" s="213">
        <f t="shared" si="3"/>
        <v>249.21</v>
      </c>
    </row>
    <row r="28" spans="1:10" ht="28.15" customHeight="1">
      <c r="A28" s="21"/>
      <c r="B28" s="116" t="s">
        <v>319</v>
      </c>
      <c r="C28" s="116">
        <v>72899</v>
      </c>
      <c r="D28" s="116" t="s">
        <v>209</v>
      </c>
      <c r="E28" s="115" t="s">
        <v>322</v>
      </c>
      <c r="F28" s="116" t="s">
        <v>320</v>
      </c>
      <c r="G28" s="153">
        <f>(G23+G24+G25+G26)*5</f>
        <v>708</v>
      </c>
      <c r="H28" s="154">
        <v>3.88</v>
      </c>
      <c r="I28" s="153">
        <f t="shared" si="2"/>
        <v>4.9982160000000002</v>
      </c>
      <c r="J28" s="213">
        <f t="shared" si="3"/>
        <v>3538.73</v>
      </c>
    </row>
    <row r="29" spans="1:10" ht="20.100000000000001" customHeight="1">
      <c r="A29" s="21"/>
      <c r="B29" s="127"/>
      <c r="C29" s="127"/>
      <c r="D29" s="127"/>
      <c r="E29" s="127"/>
      <c r="F29" s="127"/>
      <c r="G29" s="11"/>
      <c r="H29" s="143" t="s">
        <v>61</v>
      </c>
      <c r="I29" s="11"/>
      <c r="J29" s="155">
        <f>SUM(J23:J28)</f>
        <v>9525.82</v>
      </c>
    </row>
    <row r="30" spans="1:10" ht="20.100000000000001" customHeight="1">
      <c r="A30" s="21"/>
      <c r="B30" s="21"/>
      <c r="C30" s="21"/>
      <c r="D30" s="21"/>
      <c r="E30" s="3"/>
      <c r="F30" s="21"/>
      <c r="G30" s="15"/>
      <c r="H30" s="156"/>
      <c r="I30" s="21"/>
      <c r="J30" s="157"/>
    </row>
    <row r="31" spans="1:10" ht="20.100000000000001" customHeight="1">
      <c r="A31" s="21"/>
      <c r="B31" s="125">
        <v>3</v>
      </c>
      <c r="C31" s="125"/>
      <c r="D31" s="125"/>
      <c r="E31" s="187" t="s">
        <v>135</v>
      </c>
      <c r="F31" s="120"/>
      <c r="G31" s="150"/>
      <c r="H31" s="158"/>
      <c r="I31" s="125"/>
      <c r="J31" s="152">
        <f>J37</f>
        <v>23377.05</v>
      </c>
    </row>
    <row r="32" spans="1:10" ht="18.75" customHeight="1" outlineLevel="1">
      <c r="A32" s="21"/>
      <c r="B32" s="116" t="s">
        <v>25</v>
      </c>
      <c r="C32" s="116">
        <v>368</v>
      </c>
      <c r="D32" s="116" t="s">
        <v>209</v>
      </c>
      <c r="E32" s="115" t="s">
        <v>298</v>
      </c>
      <c r="F32" s="116" t="s">
        <v>26</v>
      </c>
      <c r="G32" s="153">
        <f>340.14*0.5</f>
        <v>170.07</v>
      </c>
      <c r="H32" s="154">
        <v>37.5</v>
      </c>
      <c r="I32" s="153">
        <f t="shared" ref="I32:I36" si="4">H32*1.2882</f>
        <v>48.307499999999997</v>
      </c>
      <c r="J32" s="213">
        <f t="shared" ref="J32:J36" si="5">TRUNC(I32*G32,2)</f>
        <v>8215.65</v>
      </c>
    </row>
    <row r="33" spans="1:18" ht="31.15" customHeight="1" outlineLevel="1">
      <c r="A33" s="21"/>
      <c r="B33" s="116" t="s">
        <v>33</v>
      </c>
      <c r="C33" s="116">
        <v>97912</v>
      </c>
      <c r="D33" s="116" t="s">
        <v>209</v>
      </c>
      <c r="E33" s="115" t="s">
        <v>301</v>
      </c>
      <c r="F33" s="116" t="s">
        <v>300</v>
      </c>
      <c r="G33" s="153">
        <f>G32*10</f>
        <v>1700.6999999999998</v>
      </c>
      <c r="H33" s="154">
        <v>1.62</v>
      </c>
      <c r="I33" s="153">
        <f t="shared" si="4"/>
        <v>2.086884</v>
      </c>
      <c r="J33" s="213">
        <f t="shared" si="5"/>
        <v>3549.16</v>
      </c>
    </row>
    <row r="34" spans="1:18" ht="20.100000000000001" customHeight="1" outlineLevel="1">
      <c r="A34" s="21"/>
      <c r="B34" s="116" t="s">
        <v>323</v>
      </c>
      <c r="C34" s="108">
        <v>93358</v>
      </c>
      <c r="D34" s="116" t="s">
        <v>209</v>
      </c>
      <c r="E34" s="115" t="s">
        <v>165</v>
      </c>
      <c r="F34" s="116" t="s">
        <v>26</v>
      </c>
      <c r="G34" s="153">
        <f>486*0.6*0.4</f>
        <v>116.63999999999999</v>
      </c>
      <c r="H34" s="154">
        <v>56.09</v>
      </c>
      <c r="I34" s="153">
        <f t="shared" si="4"/>
        <v>72.255138000000002</v>
      </c>
      <c r="J34" s="213">
        <f t="shared" si="5"/>
        <v>8427.83</v>
      </c>
      <c r="M34" s="130" t="s">
        <v>351</v>
      </c>
      <c r="N34" s="130">
        <v>400.67</v>
      </c>
      <c r="Q34" s="130">
        <f>P34+O34+N34</f>
        <v>400.67</v>
      </c>
    </row>
    <row r="35" spans="1:18" ht="20.100000000000001" customHeight="1" outlineLevel="1">
      <c r="A35" s="21"/>
      <c r="B35" s="116" t="s">
        <v>324</v>
      </c>
      <c r="C35" s="108">
        <v>94098</v>
      </c>
      <c r="D35" s="116" t="s">
        <v>209</v>
      </c>
      <c r="E35" s="115" t="s">
        <v>166</v>
      </c>
      <c r="F35" s="116" t="s">
        <v>28</v>
      </c>
      <c r="G35" s="153">
        <f>486*0.6</f>
        <v>291.59999999999997</v>
      </c>
      <c r="H35" s="154">
        <v>4.72</v>
      </c>
      <c r="I35" s="153">
        <f t="shared" si="4"/>
        <v>6.0803039999999999</v>
      </c>
      <c r="J35" s="213">
        <f t="shared" si="5"/>
        <v>1773.01</v>
      </c>
      <c r="P35" s="130" t="s">
        <v>352</v>
      </c>
      <c r="Q35" s="130">
        <f>Q34/0.2</f>
        <v>2003.35</v>
      </c>
      <c r="R35" s="130">
        <f>Q35*(0.2+0.2+0.4+0.4+0.1)*0.245</f>
        <v>638.06697500000007</v>
      </c>
    </row>
    <row r="36" spans="1:18" ht="20.100000000000001" customHeight="1" outlineLevel="1">
      <c r="A36" s="21"/>
      <c r="B36" s="116" t="s">
        <v>325</v>
      </c>
      <c r="C36" s="108">
        <v>93360</v>
      </c>
      <c r="D36" s="116" t="s">
        <v>209</v>
      </c>
      <c r="E36" s="115" t="s">
        <v>167</v>
      </c>
      <c r="F36" s="116" t="s">
        <v>26</v>
      </c>
      <c r="G36" s="153">
        <f>486*0.4*0.4</f>
        <v>77.760000000000005</v>
      </c>
      <c r="H36" s="154">
        <v>14.09</v>
      </c>
      <c r="I36" s="153">
        <f t="shared" si="4"/>
        <v>18.150738</v>
      </c>
      <c r="J36" s="213">
        <f t="shared" si="5"/>
        <v>1411.4</v>
      </c>
    </row>
    <row r="37" spans="1:18" ht="20.100000000000001" customHeight="1" outlineLevel="1">
      <c r="A37" s="21"/>
      <c r="B37" s="127"/>
      <c r="C37" s="127"/>
      <c r="D37" s="127"/>
      <c r="E37" s="127"/>
      <c r="F37" s="127"/>
      <c r="G37" s="11"/>
      <c r="H37" s="143" t="s">
        <v>61</v>
      </c>
      <c r="I37" s="11"/>
      <c r="J37" s="155">
        <f>SUM(J32:J36)</f>
        <v>23377.05</v>
      </c>
    </row>
    <row r="38" spans="1:18" ht="20.100000000000001" customHeight="1">
      <c r="A38" s="21"/>
      <c r="B38" s="21"/>
      <c r="C38" s="21"/>
      <c r="D38" s="21"/>
      <c r="E38" s="3"/>
      <c r="F38" s="21"/>
      <c r="G38" s="15"/>
      <c r="H38" s="156"/>
      <c r="I38" s="21"/>
      <c r="J38" s="157"/>
    </row>
    <row r="39" spans="1:18" ht="20.100000000000001" customHeight="1">
      <c r="A39" s="21"/>
      <c r="B39" s="125">
        <v>4</v>
      </c>
      <c r="C39" s="125"/>
      <c r="D39" s="125"/>
      <c r="E39" s="187" t="s">
        <v>59</v>
      </c>
      <c r="F39" s="120"/>
      <c r="G39" s="151"/>
      <c r="H39" s="158"/>
      <c r="I39" s="125"/>
      <c r="J39" s="152">
        <f>J58</f>
        <v>108708.44999999998</v>
      </c>
    </row>
    <row r="40" spans="1:18" ht="20.100000000000001" customHeight="1" outlineLevel="1">
      <c r="A40" s="21"/>
      <c r="B40" s="124" t="s">
        <v>27</v>
      </c>
      <c r="C40" s="124"/>
      <c r="D40" s="124"/>
      <c r="E40" s="127" t="s">
        <v>310</v>
      </c>
      <c r="F40" s="126"/>
      <c r="G40" s="153"/>
      <c r="H40" s="159"/>
      <c r="I40" s="153"/>
      <c r="J40" s="153"/>
    </row>
    <row r="41" spans="1:18" s="134" customFormat="1" ht="25.15" customHeight="1" outlineLevel="1">
      <c r="A41" s="131"/>
      <c r="B41" s="135" t="s">
        <v>78</v>
      </c>
      <c r="C41" s="119">
        <v>98230</v>
      </c>
      <c r="D41" s="116" t="s">
        <v>209</v>
      </c>
      <c r="E41" s="170" t="s">
        <v>305</v>
      </c>
      <c r="F41" s="135" t="s">
        <v>32</v>
      </c>
      <c r="G41" s="154">
        <f>60*3</f>
        <v>180</v>
      </c>
      <c r="H41" s="154">
        <v>83</v>
      </c>
      <c r="I41" s="153">
        <f t="shared" ref="I41:I49" si="6">H41*1.2882</f>
        <v>106.92060000000001</v>
      </c>
      <c r="J41" s="213">
        <f t="shared" ref="J41:J49" si="7">TRUNC(I41*G41,2)</f>
        <v>19245.7</v>
      </c>
    </row>
    <row r="42" spans="1:18" s="134" customFormat="1" ht="25.15" customHeight="1" outlineLevel="1">
      <c r="A42" s="131"/>
      <c r="B42" s="135" t="s">
        <v>79</v>
      </c>
      <c r="C42" s="119">
        <v>92718</v>
      </c>
      <c r="D42" s="116" t="s">
        <v>209</v>
      </c>
      <c r="E42" s="170" t="s">
        <v>306</v>
      </c>
      <c r="F42" s="116" t="s">
        <v>26</v>
      </c>
      <c r="G42" s="154">
        <f>3.141516*0.3*0.3*G41</f>
        <v>50.892559199999994</v>
      </c>
      <c r="H42" s="154">
        <v>444.32</v>
      </c>
      <c r="I42" s="153">
        <f t="shared" si="6"/>
        <v>572.37302399999999</v>
      </c>
      <c r="J42" s="213">
        <f t="shared" si="7"/>
        <v>29129.52</v>
      </c>
    </row>
    <row r="43" spans="1:18" s="134" customFormat="1" ht="25.15" customHeight="1" outlineLevel="1">
      <c r="A43" s="131"/>
      <c r="B43" s="135" t="s">
        <v>80</v>
      </c>
      <c r="C43" s="119">
        <v>92759</v>
      </c>
      <c r="D43" s="116" t="s">
        <v>209</v>
      </c>
      <c r="E43" s="170" t="s">
        <v>307</v>
      </c>
      <c r="F43" s="135" t="s">
        <v>308</v>
      </c>
      <c r="G43" s="154">
        <f>G42*0.3</f>
        <v>15.267767759999998</v>
      </c>
      <c r="H43" s="154">
        <v>10.17</v>
      </c>
      <c r="I43" s="153">
        <f t="shared" si="6"/>
        <v>13.100994</v>
      </c>
      <c r="J43" s="213">
        <f t="shared" si="7"/>
        <v>200.02</v>
      </c>
    </row>
    <row r="44" spans="1:18" s="134" customFormat="1" ht="25.15" customHeight="1" outlineLevel="1">
      <c r="A44" s="131"/>
      <c r="B44" s="135" t="s">
        <v>81</v>
      </c>
      <c r="C44" s="119">
        <v>96544</v>
      </c>
      <c r="D44" s="116" t="s">
        <v>209</v>
      </c>
      <c r="E44" s="170" t="s">
        <v>311</v>
      </c>
      <c r="F44" s="135" t="s">
        <v>308</v>
      </c>
      <c r="G44" s="154">
        <f>60*(0.4*4*2)*0.245</f>
        <v>47.04</v>
      </c>
      <c r="H44" s="154">
        <v>10.68</v>
      </c>
      <c r="I44" s="153">
        <f t="shared" si="6"/>
        <v>13.757975999999999</v>
      </c>
      <c r="J44" s="213">
        <f t="shared" si="7"/>
        <v>647.16999999999996</v>
      </c>
    </row>
    <row r="45" spans="1:18" s="134" customFormat="1" ht="25.15" customHeight="1" outlineLevel="1">
      <c r="A45" s="131"/>
      <c r="B45" s="135" t="s">
        <v>372</v>
      </c>
      <c r="C45" s="119">
        <v>96546</v>
      </c>
      <c r="D45" s="116" t="s">
        <v>209</v>
      </c>
      <c r="E45" s="170" t="s">
        <v>309</v>
      </c>
      <c r="F45" s="135" t="s">
        <v>308</v>
      </c>
      <c r="G45" s="154">
        <f>G42*0.7</f>
        <v>35.624791439999996</v>
      </c>
      <c r="H45" s="154">
        <v>8.6199999999999992</v>
      </c>
      <c r="I45" s="153">
        <f t="shared" si="6"/>
        <v>11.104284</v>
      </c>
      <c r="J45" s="213">
        <f t="shared" si="7"/>
        <v>395.58</v>
      </c>
    </row>
    <row r="46" spans="1:18" ht="25.15" customHeight="1" outlineLevel="1">
      <c r="A46" s="21"/>
      <c r="B46" s="135" t="s">
        <v>326</v>
      </c>
      <c r="C46" s="105">
        <v>95241</v>
      </c>
      <c r="D46" s="116" t="s">
        <v>209</v>
      </c>
      <c r="E46" s="115" t="s">
        <v>136</v>
      </c>
      <c r="F46" s="119" t="s">
        <v>28</v>
      </c>
      <c r="G46" s="153">
        <f>0.4*0.4*60</f>
        <v>9.6000000000000014</v>
      </c>
      <c r="H46" s="154">
        <v>18.420000000000002</v>
      </c>
      <c r="I46" s="153">
        <f t="shared" si="6"/>
        <v>23.728644000000003</v>
      </c>
      <c r="J46" s="213">
        <f t="shared" si="7"/>
        <v>227.79</v>
      </c>
    </row>
    <row r="47" spans="1:18" ht="25.15" customHeight="1" outlineLevel="1">
      <c r="A47" s="21"/>
      <c r="B47" s="135" t="s">
        <v>373</v>
      </c>
      <c r="C47" s="119">
        <v>92430</v>
      </c>
      <c r="D47" s="119" t="s">
        <v>209</v>
      </c>
      <c r="E47" s="115" t="s">
        <v>347</v>
      </c>
      <c r="F47" s="119" t="s">
        <v>28</v>
      </c>
      <c r="G47" s="153">
        <f>(0.4*4*0.4*60)</f>
        <v>38.400000000000006</v>
      </c>
      <c r="H47" s="154">
        <v>36.590000000000003</v>
      </c>
      <c r="I47" s="153">
        <f t="shared" si="6"/>
        <v>47.135238000000008</v>
      </c>
      <c r="J47" s="213">
        <f t="shared" si="7"/>
        <v>1809.99</v>
      </c>
    </row>
    <row r="48" spans="1:18" ht="25.15" customHeight="1" outlineLevel="1">
      <c r="A48" s="21"/>
      <c r="B48" s="135" t="s">
        <v>327</v>
      </c>
      <c r="C48" s="119">
        <v>92720</v>
      </c>
      <c r="D48" s="116" t="s">
        <v>209</v>
      </c>
      <c r="E48" s="115" t="s">
        <v>312</v>
      </c>
      <c r="F48" s="119" t="s">
        <v>26</v>
      </c>
      <c r="G48" s="153">
        <f>0.4*0.4*0.4*60</f>
        <v>3.8400000000000007</v>
      </c>
      <c r="H48" s="154">
        <v>374.49</v>
      </c>
      <c r="I48" s="153">
        <f t="shared" si="6"/>
        <v>482.41801800000002</v>
      </c>
      <c r="J48" s="213">
        <f t="shared" si="7"/>
        <v>1852.48</v>
      </c>
    </row>
    <row r="49" spans="1:12" ht="25.15" customHeight="1" outlineLevel="1">
      <c r="A49" s="21"/>
      <c r="B49" s="135" t="s">
        <v>328</v>
      </c>
      <c r="C49" s="119">
        <v>92873</v>
      </c>
      <c r="D49" s="116" t="s">
        <v>209</v>
      </c>
      <c r="E49" s="115" t="s">
        <v>313</v>
      </c>
      <c r="F49" s="119" t="s">
        <v>26</v>
      </c>
      <c r="G49" s="153">
        <f>G48</f>
        <v>3.8400000000000007</v>
      </c>
      <c r="H49" s="154">
        <v>143.91999999999999</v>
      </c>
      <c r="I49" s="153">
        <f t="shared" si="6"/>
        <v>185.39774399999999</v>
      </c>
      <c r="J49" s="213">
        <f t="shared" si="7"/>
        <v>711.92</v>
      </c>
    </row>
    <row r="50" spans="1:12" ht="20.100000000000001" customHeight="1" outlineLevel="1">
      <c r="A50" s="21"/>
      <c r="B50" s="124"/>
      <c r="C50" s="124"/>
      <c r="D50" s="124"/>
      <c r="E50" s="127" t="s">
        <v>134</v>
      </c>
      <c r="F50" s="126"/>
      <c r="G50" s="153"/>
      <c r="H50" s="154"/>
      <c r="I50" s="153">
        <f t="shared" ref="I50:I87" si="8">H50*1.315</f>
        <v>0</v>
      </c>
      <c r="J50" s="153"/>
    </row>
    <row r="51" spans="1:12" ht="20.100000000000001" customHeight="1" outlineLevel="1">
      <c r="A51" s="21"/>
      <c r="B51" s="135" t="s">
        <v>329</v>
      </c>
      <c r="C51" s="207">
        <v>95241</v>
      </c>
      <c r="D51" s="116" t="s">
        <v>209</v>
      </c>
      <c r="E51" s="115" t="s">
        <v>136</v>
      </c>
      <c r="F51" s="119" t="s">
        <v>26</v>
      </c>
      <c r="G51" s="153">
        <f>Q34*0.05*0.6</f>
        <v>12.020100000000001</v>
      </c>
      <c r="H51" s="214">
        <v>18.420000000000002</v>
      </c>
      <c r="I51" s="153">
        <f t="shared" ref="I51:I57" si="9">H51*1.2882</f>
        <v>23.728644000000003</v>
      </c>
      <c r="J51" s="213">
        <f t="shared" ref="J51:J57" si="10">TRUNC(I51*G51,2)</f>
        <v>285.22000000000003</v>
      </c>
    </row>
    <row r="52" spans="1:12" ht="25.5" outlineLevel="1">
      <c r="A52" s="21"/>
      <c r="B52" s="135" t="s">
        <v>330</v>
      </c>
      <c r="C52" s="119">
        <v>92430</v>
      </c>
      <c r="D52" s="119" t="s">
        <v>209</v>
      </c>
      <c r="E52" s="115" t="s">
        <v>347</v>
      </c>
      <c r="F52" s="119" t="s">
        <v>28</v>
      </c>
      <c r="G52" s="194">
        <f>(Q34*2*0.4)</f>
        <v>320.53600000000006</v>
      </c>
      <c r="H52" s="154">
        <v>36.590000000000003</v>
      </c>
      <c r="I52" s="153">
        <f t="shared" si="9"/>
        <v>47.135238000000008</v>
      </c>
      <c r="J52" s="213">
        <f t="shared" si="10"/>
        <v>15108.54</v>
      </c>
    </row>
    <row r="53" spans="1:12" ht="19.5" customHeight="1" outlineLevel="1">
      <c r="A53" s="21"/>
      <c r="B53" s="135" t="s">
        <v>331</v>
      </c>
      <c r="C53" s="119">
        <v>92917</v>
      </c>
      <c r="D53" s="116" t="s">
        <v>209</v>
      </c>
      <c r="E53" s="115" t="s">
        <v>196</v>
      </c>
      <c r="F53" s="119" t="s">
        <v>30</v>
      </c>
      <c r="G53" s="153">
        <f>Q34*4*0.395*1.05*0.5</f>
        <v>332.35576500000008</v>
      </c>
      <c r="H53" s="154">
        <v>9.91</v>
      </c>
      <c r="I53" s="153">
        <f t="shared" si="9"/>
        <v>12.766062</v>
      </c>
      <c r="J53" s="213">
        <f t="shared" si="10"/>
        <v>4242.87</v>
      </c>
    </row>
    <row r="54" spans="1:12" ht="19.5" customHeight="1" outlineLevel="1">
      <c r="A54" s="21"/>
      <c r="B54" s="135" t="s">
        <v>332</v>
      </c>
      <c r="C54" s="119">
        <v>92915</v>
      </c>
      <c r="D54" s="116" t="s">
        <v>209</v>
      </c>
      <c r="E54" s="115" t="s">
        <v>195</v>
      </c>
      <c r="F54" s="119" t="s">
        <v>30</v>
      </c>
      <c r="G54" s="153">
        <f>(Q34/0.15)*(0.2*2+0.4*2+0.1)*0.154</f>
        <v>534.76089333333346</v>
      </c>
      <c r="H54" s="154">
        <v>11.15</v>
      </c>
      <c r="I54" s="153">
        <f t="shared" si="9"/>
        <v>14.363430000000001</v>
      </c>
      <c r="J54" s="213">
        <f t="shared" si="10"/>
        <v>7681</v>
      </c>
    </row>
    <row r="55" spans="1:12" ht="19.5" customHeight="1" outlineLevel="1">
      <c r="A55" s="21"/>
      <c r="B55" s="135" t="s">
        <v>333</v>
      </c>
      <c r="C55" s="119">
        <v>96546</v>
      </c>
      <c r="D55" s="116" t="s">
        <v>209</v>
      </c>
      <c r="E55" s="170" t="s">
        <v>309</v>
      </c>
      <c r="F55" s="135" t="s">
        <v>308</v>
      </c>
      <c r="G55" s="153">
        <f>Q34*4*1.05*0.617*0.5</f>
        <v>519.14811900000007</v>
      </c>
      <c r="H55" s="154">
        <v>8.6199999999999992</v>
      </c>
      <c r="I55" s="153">
        <f t="shared" si="9"/>
        <v>11.104284</v>
      </c>
      <c r="J55" s="213">
        <f t="shared" si="10"/>
        <v>5764.76</v>
      </c>
    </row>
    <row r="56" spans="1:12" ht="20.100000000000001" customHeight="1" outlineLevel="1">
      <c r="A56" s="21"/>
      <c r="B56" s="135" t="s">
        <v>334</v>
      </c>
      <c r="C56" s="119">
        <v>92720</v>
      </c>
      <c r="D56" s="116" t="s">
        <v>209</v>
      </c>
      <c r="E56" s="115" t="s">
        <v>376</v>
      </c>
      <c r="F56" s="119" t="s">
        <v>26</v>
      </c>
      <c r="G56" s="153">
        <f>Q34*0.2*0.4</f>
        <v>32.05360000000001</v>
      </c>
      <c r="H56" s="154">
        <v>374.49</v>
      </c>
      <c r="I56" s="153">
        <f t="shared" si="9"/>
        <v>482.41801800000002</v>
      </c>
      <c r="J56" s="213">
        <f t="shared" si="10"/>
        <v>15463.23</v>
      </c>
    </row>
    <row r="57" spans="1:12" s="211" customFormat="1" ht="25.15" customHeight="1" outlineLevel="1">
      <c r="A57" s="205"/>
      <c r="B57" s="212" t="s">
        <v>385</v>
      </c>
      <c r="C57" s="210">
        <v>92873</v>
      </c>
      <c r="D57" s="209" t="s">
        <v>209</v>
      </c>
      <c r="E57" s="208" t="s">
        <v>313</v>
      </c>
      <c r="F57" s="210" t="s">
        <v>26</v>
      </c>
      <c r="G57" s="213">
        <f>G56</f>
        <v>32.05360000000001</v>
      </c>
      <c r="H57" s="214">
        <v>143.91999999999999</v>
      </c>
      <c r="I57" s="213">
        <f t="shared" si="9"/>
        <v>185.39774399999999</v>
      </c>
      <c r="J57" s="213">
        <f t="shared" si="10"/>
        <v>5942.66</v>
      </c>
    </row>
    <row r="58" spans="1:12" ht="29.45" customHeight="1" outlineLevel="1" collapsed="1">
      <c r="A58" s="21"/>
      <c r="B58" s="135"/>
      <c r="C58" s="119"/>
      <c r="D58" s="116"/>
      <c r="E58" s="115"/>
      <c r="F58" s="119"/>
      <c r="G58" s="153"/>
      <c r="H58" s="143" t="s">
        <v>61</v>
      </c>
      <c r="I58" s="153"/>
      <c r="J58" s="155">
        <f>SUM(J40:J57)</f>
        <v>108708.44999999998</v>
      </c>
    </row>
    <row r="59" spans="1:12" ht="20.100000000000001" customHeight="1">
      <c r="A59" s="21"/>
      <c r="B59" s="21"/>
      <c r="C59" s="21"/>
      <c r="D59" s="21"/>
      <c r="E59" s="3"/>
      <c r="F59" s="21"/>
      <c r="G59" s="15"/>
      <c r="H59" s="156"/>
      <c r="I59" s="21"/>
      <c r="J59" s="157"/>
    </row>
    <row r="60" spans="1:12" ht="20.100000000000001" customHeight="1">
      <c r="A60" s="21"/>
      <c r="B60" s="125">
        <v>5</v>
      </c>
      <c r="C60" s="125"/>
      <c r="D60" s="125"/>
      <c r="E60" s="187" t="s">
        <v>110</v>
      </c>
      <c r="F60" s="120"/>
      <c r="G60" s="151"/>
      <c r="H60" s="158"/>
      <c r="I60" s="125"/>
      <c r="J60" s="152">
        <f>J78</f>
        <v>130215.47</v>
      </c>
    </row>
    <row r="61" spans="1:12" ht="20.100000000000001" customHeight="1" outlineLevel="1">
      <c r="A61" s="21"/>
      <c r="B61" s="124" t="s">
        <v>29</v>
      </c>
      <c r="C61" s="124"/>
      <c r="D61" s="124"/>
      <c r="E61" s="127" t="s">
        <v>51</v>
      </c>
      <c r="F61" s="126"/>
      <c r="G61" s="153"/>
      <c r="H61" s="159"/>
      <c r="I61" s="153">
        <f t="shared" ref="I61:I77" si="11">H61*1.2882</f>
        <v>0</v>
      </c>
      <c r="J61" s="153"/>
    </row>
    <row r="62" spans="1:12" ht="25.5" customHeight="1" outlineLevel="1">
      <c r="A62" s="21"/>
      <c r="B62" s="119" t="s">
        <v>82</v>
      </c>
      <c r="C62" s="119">
        <v>92430</v>
      </c>
      <c r="D62" s="119" t="s">
        <v>209</v>
      </c>
      <c r="E62" s="115" t="s">
        <v>347</v>
      </c>
      <c r="F62" s="119" t="s">
        <v>28</v>
      </c>
      <c r="G62" s="153">
        <f>70*(0.15*2+0.2*2)*4.2</f>
        <v>205.8</v>
      </c>
      <c r="H62" s="154">
        <v>36.590000000000003</v>
      </c>
      <c r="I62" s="153">
        <f t="shared" si="11"/>
        <v>47.135238000000008</v>
      </c>
      <c r="J62" s="213">
        <f t="shared" ref="J62:J66" si="12">TRUNC(I62*G62,2)</f>
        <v>9700.43</v>
      </c>
      <c r="L62" s="130">
        <v>35.26</v>
      </c>
    </row>
    <row r="63" spans="1:12" ht="19.5" customHeight="1" outlineLevel="1">
      <c r="A63" s="21"/>
      <c r="B63" s="119" t="s">
        <v>83</v>
      </c>
      <c r="C63" s="119">
        <v>92919</v>
      </c>
      <c r="D63" s="116" t="s">
        <v>209</v>
      </c>
      <c r="E63" s="115" t="s">
        <v>197</v>
      </c>
      <c r="F63" s="119" t="s">
        <v>30</v>
      </c>
      <c r="G63" s="153">
        <f>70*4.2*4*0.617</f>
        <v>725.59199999999998</v>
      </c>
      <c r="H63" s="154">
        <v>8.14</v>
      </c>
      <c r="I63" s="153">
        <f t="shared" si="11"/>
        <v>10.485948</v>
      </c>
      <c r="J63" s="213">
        <f t="shared" si="12"/>
        <v>7608.51</v>
      </c>
      <c r="L63" s="130">
        <v>7.73</v>
      </c>
    </row>
    <row r="64" spans="1:12" ht="19.5" customHeight="1" outlineLevel="1">
      <c r="A64" s="21"/>
      <c r="B64" s="119" t="s">
        <v>335</v>
      </c>
      <c r="C64" s="119">
        <v>92915</v>
      </c>
      <c r="D64" s="116" t="s">
        <v>209</v>
      </c>
      <c r="E64" s="115" t="s">
        <v>195</v>
      </c>
      <c r="F64" s="119" t="s">
        <v>30</v>
      </c>
      <c r="G64" s="153">
        <f>(4.2/0.15)*70*(0.15*2+0.2)*0.154</f>
        <v>150.92000000000002</v>
      </c>
      <c r="H64" s="214">
        <v>11.15</v>
      </c>
      <c r="I64" s="153">
        <f t="shared" si="11"/>
        <v>14.363430000000001</v>
      </c>
      <c r="J64" s="213">
        <f t="shared" si="12"/>
        <v>2167.7199999999998</v>
      </c>
      <c r="L64" s="130">
        <v>10.93</v>
      </c>
    </row>
    <row r="65" spans="1:12" ht="20.100000000000001" customHeight="1" outlineLevel="1">
      <c r="A65" s="21"/>
      <c r="B65" s="119" t="s">
        <v>336</v>
      </c>
      <c r="C65" s="119">
        <v>92720</v>
      </c>
      <c r="D65" s="116" t="s">
        <v>209</v>
      </c>
      <c r="E65" s="115" t="s">
        <v>312</v>
      </c>
      <c r="F65" s="119" t="s">
        <v>26</v>
      </c>
      <c r="G65" s="153">
        <f>70*4.2*0.15*0.2</f>
        <v>8.82</v>
      </c>
      <c r="H65" s="154">
        <v>374.49</v>
      </c>
      <c r="I65" s="153">
        <f t="shared" si="11"/>
        <v>482.41801800000002</v>
      </c>
      <c r="J65" s="213">
        <f t="shared" si="12"/>
        <v>4254.92</v>
      </c>
      <c r="L65" s="130">
        <v>343.86</v>
      </c>
    </row>
    <row r="66" spans="1:12" ht="25.5" outlineLevel="1">
      <c r="A66" s="21"/>
      <c r="B66" s="210" t="s">
        <v>386</v>
      </c>
      <c r="C66" s="119">
        <v>92873</v>
      </c>
      <c r="D66" s="116" t="s">
        <v>209</v>
      </c>
      <c r="E66" s="115" t="s">
        <v>313</v>
      </c>
      <c r="F66" s="119" t="s">
        <v>26</v>
      </c>
      <c r="G66" s="153">
        <f>G65</f>
        <v>8.82</v>
      </c>
      <c r="H66" s="154">
        <v>143.91999999999999</v>
      </c>
      <c r="I66" s="153">
        <f t="shared" si="11"/>
        <v>185.39774399999999</v>
      </c>
      <c r="J66" s="213">
        <f t="shared" si="12"/>
        <v>1635.2</v>
      </c>
    </row>
    <row r="67" spans="1:12" ht="20.100000000000001" customHeight="1" outlineLevel="1">
      <c r="A67" s="21"/>
      <c r="B67" s="124" t="s">
        <v>337</v>
      </c>
      <c r="C67" s="124"/>
      <c r="D67" s="124"/>
      <c r="E67" s="127" t="s">
        <v>52</v>
      </c>
      <c r="F67" s="126"/>
      <c r="G67" s="153"/>
      <c r="H67" s="154"/>
      <c r="I67" s="153">
        <f t="shared" si="11"/>
        <v>0</v>
      </c>
      <c r="J67" s="153"/>
    </row>
    <row r="68" spans="1:12" ht="25.5" customHeight="1" outlineLevel="1">
      <c r="A68" s="21"/>
      <c r="B68" s="119" t="s">
        <v>338</v>
      </c>
      <c r="C68" s="119">
        <v>92430</v>
      </c>
      <c r="D68" s="119" t="s">
        <v>209</v>
      </c>
      <c r="E68" s="115" t="s">
        <v>347</v>
      </c>
      <c r="F68" s="119" t="s">
        <v>28</v>
      </c>
      <c r="G68" s="153">
        <f>Q34*2*0.3+Q34*0.2</f>
        <v>320.536</v>
      </c>
      <c r="H68" s="154">
        <v>36.590000000000003</v>
      </c>
      <c r="I68" s="153">
        <f t="shared" si="11"/>
        <v>47.135238000000008</v>
      </c>
      <c r="J68" s="213">
        <f t="shared" ref="J68:J73" si="13">TRUNC(I68*G68,2)</f>
        <v>15108.54</v>
      </c>
      <c r="L68" s="130">
        <v>50.14</v>
      </c>
    </row>
    <row r="69" spans="1:12" ht="20.25" customHeight="1" outlineLevel="1">
      <c r="A69" s="21"/>
      <c r="B69" s="119" t="s">
        <v>339</v>
      </c>
      <c r="C69" s="119">
        <v>92916</v>
      </c>
      <c r="D69" s="116" t="s">
        <v>209</v>
      </c>
      <c r="E69" s="115" t="s">
        <v>198</v>
      </c>
      <c r="F69" s="119" t="s">
        <v>30</v>
      </c>
      <c r="G69" s="153">
        <f>Q34*3*0.245*1.05</f>
        <v>309.21707250000003</v>
      </c>
      <c r="H69" s="154">
        <v>9.9700000000000006</v>
      </c>
      <c r="I69" s="153">
        <f t="shared" si="11"/>
        <v>12.843354000000001</v>
      </c>
      <c r="J69" s="213">
        <f t="shared" si="13"/>
        <v>3971.38</v>
      </c>
      <c r="L69" s="130">
        <v>9.99</v>
      </c>
    </row>
    <row r="70" spans="1:12" ht="19.5" customHeight="1" outlineLevel="1">
      <c r="A70" s="21"/>
      <c r="B70" s="119" t="s">
        <v>340</v>
      </c>
      <c r="C70" s="119">
        <v>92917</v>
      </c>
      <c r="D70" s="116" t="s">
        <v>209</v>
      </c>
      <c r="E70" s="115" t="s">
        <v>196</v>
      </c>
      <c r="F70" s="119" t="s">
        <v>30</v>
      </c>
      <c r="G70" s="153">
        <f>Q34*3*0.4*1.05</f>
        <v>504.84420000000006</v>
      </c>
      <c r="H70" s="154">
        <v>9.91</v>
      </c>
      <c r="I70" s="153">
        <f t="shared" si="11"/>
        <v>12.766062</v>
      </c>
      <c r="J70" s="213">
        <f t="shared" si="13"/>
        <v>6444.87</v>
      </c>
      <c r="L70" s="130">
        <v>9.5299999999999994</v>
      </c>
    </row>
    <row r="71" spans="1:12" ht="19.5" customHeight="1" outlineLevel="1">
      <c r="A71" s="21"/>
      <c r="B71" s="119" t="s">
        <v>341</v>
      </c>
      <c r="C71" s="119">
        <v>92915</v>
      </c>
      <c r="D71" s="116" t="s">
        <v>209</v>
      </c>
      <c r="E71" s="115" t="s">
        <v>195</v>
      </c>
      <c r="F71" s="119" t="s">
        <v>30</v>
      </c>
      <c r="G71" s="153">
        <f>(Q34/0.15)*(0.2*2+0.3*2+0.1)*0.154</f>
        <v>452.48998666666677</v>
      </c>
      <c r="H71" s="154">
        <v>11.15</v>
      </c>
      <c r="I71" s="153">
        <f t="shared" si="11"/>
        <v>14.363430000000001</v>
      </c>
      <c r="J71" s="213">
        <f t="shared" si="13"/>
        <v>6499.3</v>
      </c>
      <c r="L71" s="130">
        <v>10.93</v>
      </c>
    </row>
    <row r="72" spans="1:12" ht="20.100000000000001" customHeight="1" outlineLevel="1">
      <c r="A72" s="21"/>
      <c r="B72" s="119" t="s">
        <v>342</v>
      </c>
      <c r="C72" s="119">
        <v>92720</v>
      </c>
      <c r="D72" s="116" t="s">
        <v>209</v>
      </c>
      <c r="E72" s="115" t="s">
        <v>150</v>
      </c>
      <c r="F72" s="119" t="s">
        <v>26</v>
      </c>
      <c r="G72" s="153">
        <f>Q34*0.2*0.3</f>
        <v>24.040200000000002</v>
      </c>
      <c r="H72" s="154">
        <v>374.49</v>
      </c>
      <c r="I72" s="153">
        <f t="shared" si="11"/>
        <v>482.41801800000002</v>
      </c>
      <c r="J72" s="213">
        <f t="shared" si="13"/>
        <v>11597.42</v>
      </c>
      <c r="L72" s="130">
        <v>343.86</v>
      </c>
    </row>
    <row r="73" spans="1:12" ht="30.6" customHeight="1" outlineLevel="1">
      <c r="A73" s="21"/>
      <c r="B73" s="119" t="s">
        <v>348</v>
      </c>
      <c r="C73" s="119">
        <v>92873</v>
      </c>
      <c r="D73" s="116" t="s">
        <v>209</v>
      </c>
      <c r="E73" s="115" t="s">
        <v>313</v>
      </c>
      <c r="F73" s="119" t="s">
        <v>26</v>
      </c>
      <c r="G73" s="153">
        <f>G72</f>
        <v>24.040200000000002</v>
      </c>
      <c r="H73" s="154">
        <v>143.91999999999999</v>
      </c>
      <c r="I73" s="153">
        <f t="shared" si="11"/>
        <v>185.39774399999999</v>
      </c>
      <c r="J73" s="213">
        <f t="shared" si="13"/>
        <v>4456.99</v>
      </c>
    </row>
    <row r="74" spans="1:12" ht="20.100000000000001" customHeight="1" outlineLevel="1">
      <c r="A74" s="21"/>
      <c r="B74" s="124" t="s">
        <v>344</v>
      </c>
      <c r="C74" s="124"/>
      <c r="D74" s="124"/>
      <c r="E74" s="127" t="s">
        <v>129</v>
      </c>
      <c r="F74" s="126"/>
      <c r="G74" s="153"/>
      <c r="H74" s="154"/>
      <c r="I74" s="153">
        <f t="shared" si="11"/>
        <v>0</v>
      </c>
      <c r="J74" s="153"/>
    </row>
    <row r="75" spans="1:12" ht="19.5" customHeight="1" outlineLevel="1">
      <c r="A75" s="21"/>
      <c r="B75" s="119" t="s">
        <v>345</v>
      </c>
      <c r="C75" s="116" t="s">
        <v>349</v>
      </c>
      <c r="D75" s="116" t="s">
        <v>209</v>
      </c>
      <c r="E75" s="115" t="s">
        <v>130</v>
      </c>
      <c r="F75" s="119" t="s">
        <v>28</v>
      </c>
      <c r="G75" s="153">
        <v>635.98</v>
      </c>
      <c r="H75" s="154">
        <v>66.92</v>
      </c>
      <c r="I75" s="153">
        <f t="shared" si="11"/>
        <v>86.206344000000001</v>
      </c>
      <c r="J75" s="213">
        <f t="shared" ref="J75" si="14">TRUNC(I75*G75,2)</f>
        <v>54825.51</v>
      </c>
      <c r="L75" s="130">
        <v>56.13</v>
      </c>
    </row>
    <row r="76" spans="1:12" ht="20.100000000000001" customHeight="1" outlineLevel="1">
      <c r="A76" s="21"/>
      <c r="B76" s="124" t="s">
        <v>343</v>
      </c>
      <c r="C76" s="124"/>
      <c r="D76" s="124"/>
      <c r="E76" s="127" t="s">
        <v>131</v>
      </c>
      <c r="F76" s="126"/>
      <c r="G76" s="153"/>
      <c r="H76" s="154"/>
      <c r="I76" s="153">
        <f t="shared" si="11"/>
        <v>0</v>
      </c>
      <c r="J76" s="153"/>
    </row>
    <row r="77" spans="1:12" ht="19.5" customHeight="1" outlineLevel="1">
      <c r="A77" s="21"/>
      <c r="B77" s="119" t="s">
        <v>346</v>
      </c>
      <c r="C77" s="106">
        <v>93183</v>
      </c>
      <c r="D77" s="119" t="s">
        <v>209</v>
      </c>
      <c r="E77" s="115" t="s">
        <v>151</v>
      </c>
      <c r="F77" s="119" t="s">
        <v>32</v>
      </c>
      <c r="G77" s="153">
        <f>(G88*1.4+G89*1.6+G90*2)</f>
        <v>53.400000000000006</v>
      </c>
      <c r="H77" s="154">
        <v>28.27</v>
      </c>
      <c r="I77" s="153">
        <f t="shared" si="11"/>
        <v>36.417414000000001</v>
      </c>
      <c r="J77" s="213">
        <f t="shared" ref="J77" si="15">TRUNC(I77*G77,2)</f>
        <v>1944.68</v>
      </c>
      <c r="L77" s="130">
        <v>26.53</v>
      </c>
    </row>
    <row r="78" spans="1:12" ht="20.100000000000001" customHeight="1" outlineLevel="1">
      <c r="A78" s="21"/>
      <c r="B78" s="127"/>
      <c r="C78" s="127"/>
      <c r="D78" s="127"/>
      <c r="E78" s="127"/>
      <c r="F78" s="127"/>
      <c r="G78" s="11"/>
      <c r="H78" s="143" t="s">
        <v>61</v>
      </c>
      <c r="I78" s="153"/>
      <c r="J78" s="155">
        <f>SUM(J61:J77)</f>
        <v>130215.47</v>
      </c>
      <c r="L78" s="130" t="s">
        <v>61</v>
      </c>
    </row>
    <row r="79" spans="1:12" ht="20.100000000000001" customHeight="1">
      <c r="A79" s="21"/>
      <c r="B79" s="21"/>
      <c r="C79" s="21"/>
      <c r="D79" s="21"/>
      <c r="E79" s="3"/>
      <c r="F79" s="21"/>
      <c r="G79" s="15"/>
      <c r="H79" s="160"/>
      <c r="I79" s="21"/>
      <c r="J79" s="157"/>
    </row>
    <row r="80" spans="1:12" ht="20.100000000000001" customHeight="1">
      <c r="A80" s="21"/>
      <c r="B80" s="125">
        <v>5</v>
      </c>
      <c r="C80" s="125"/>
      <c r="D80" s="125"/>
      <c r="E80" s="187" t="s">
        <v>159</v>
      </c>
      <c r="F80" s="120"/>
      <c r="G80" s="151"/>
      <c r="H80" s="161"/>
      <c r="I80" s="125"/>
      <c r="J80" s="152">
        <f>J84</f>
        <v>70078.83</v>
      </c>
    </row>
    <row r="81" spans="1:12" ht="20.100000000000001" customHeight="1" outlineLevel="1">
      <c r="A81" s="21"/>
      <c r="B81" s="124" t="s">
        <v>29</v>
      </c>
      <c r="C81" s="11"/>
      <c r="D81" s="11"/>
      <c r="E81" s="117" t="s">
        <v>44</v>
      </c>
      <c r="F81" s="116"/>
      <c r="G81" s="153"/>
      <c r="H81" s="154"/>
      <c r="I81" s="153">
        <f t="shared" si="8"/>
        <v>0</v>
      </c>
      <c r="J81" s="153"/>
    </row>
    <row r="82" spans="1:12" ht="30" customHeight="1" outlineLevel="1">
      <c r="A82" s="21"/>
      <c r="B82" s="116" t="s">
        <v>82</v>
      </c>
      <c r="C82" s="116">
        <v>87477</v>
      </c>
      <c r="D82" s="116" t="s">
        <v>209</v>
      </c>
      <c r="E82" s="115" t="s">
        <v>199</v>
      </c>
      <c r="F82" s="116" t="s">
        <v>28</v>
      </c>
      <c r="G82" s="153">
        <v>1341.62</v>
      </c>
      <c r="H82" s="116">
        <v>35.57</v>
      </c>
      <c r="I82" s="153">
        <f t="shared" ref="I82:I83" si="16">H82*1.2882</f>
        <v>45.821274000000003</v>
      </c>
      <c r="J82" s="213">
        <f t="shared" ref="J82:J83" si="17">TRUNC(I82*G82,2)</f>
        <v>61474.73</v>
      </c>
      <c r="L82" s="130">
        <v>33.200000000000003</v>
      </c>
    </row>
    <row r="83" spans="1:12" ht="30" customHeight="1" outlineLevel="1">
      <c r="A83" s="21"/>
      <c r="B83" s="116" t="s">
        <v>83</v>
      </c>
      <c r="C83" s="107">
        <v>93202</v>
      </c>
      <c r="D83" s="116" t="s">
        <v>209</v>
      </c>
      <c r="E83" s="115" t="s">
        <v>149</v>
      </c>
      <c r="F83" s="116" t="s">
        <v>32</v>
      </c>
      <c r="G83" s="153">
        <f>Q34</f>
        <v>400.67</v>
      </c>
      <c r="H83" s="154">
        <v>16.670000000000002</v>
      </c>
      <c r="I83" s="153">
        <f t="shared" si="16"/>
        <v>21.474294000000004</v>
      </c>
      <c r="J83" s="213">
        <f t="shared" si="17"/>
        <v>8604.1</v>
      </c>
      <c r="L83" s="130">
        <v>15.53</v>
      </c>
    </row>
    <row r="84" spans="1:12" ht="20.100000000000001" customHeight="1" outlineLevel="1">
      <c r="A84" s="21"/>
      <c r="B84" s="127"/>
      <c r="C84" s="127"/>
      <c r="D84" s="127"/>
      <c r="E84" s="127"/>
      <c r="F84" s="127"/>
      <c r="G84" s="11"/>
      <c r="H84" s="143" t="s">
        <v>61</v>
      </c>
      <c r="I84" s="153"/>
      <c r="J84" s="155">
        <f>SUM(J81:J83)</f>
        <v>70078.83</v>
      </c>
      <c r="L84" s="130" t="s">
        <v>61</v>
      </c>
    </row>
    <row r="85" spans="1:12" ht="20.100000000000001" customHeight="1">
      <c r="A85" s="21"/>
      <c r="B85" s="21"/>
      <c r="C85" s="21"/>
      <c r="D85" s="21"/>
      <c r="E85" s="3"/>
      <c r="F85" s="21"/>
      <c r="G85" s="15"/>
      <c r="H85" s="160"/>
      <c r="I85" s="21"/>
      <c r="J85" s="157"/>
    </row>
    <row r="86" spans="1:12" ht="20.100000000000001" customHeight="1">
      <c r="A86" s="21"/>
      <c r="B86" s="125">
        <v>6</v>
      </c>
      <c r="C86" s="125"/>
      <c r="D86" s="125"/>
      <c r="E86" s="187" t="s">
        <v>111</v>
      </c>
      <c r="F86" s="120"/>
      <c r="G86" s="151"/>
      <c r="H86" s="161"/>
      <c r="I86" s="125"/>
      <c r="J86" s="152">
        <f>J101</f>
        <v>54515.66</v>
      </c>
    </row>
    <row r="87" spans="1:12" ht="20.100000000000001" customHeight="1" outlineLevel="1">
      <c r="A87" s="21"/>
      <c r="B87" s="124" t="s">
        <v>31</v>
      </c>
      <c r="C87" s="124"/>
      <c r="D87" s="124"/>
      <c r="E87" s="127" t="s">
        <v>53</v>
      </c>
      <c r="F87" s="127"/>
      <c r="G87" s="153"/>
      <c r="H87" s="154"/>
      <c r="I87" s="153">
        <f t="shared" si="8"/>
        <v>0</v>
      </c>
      <c r="J87" s="153"/>
    </row>
    <row r="88" spans="1:12" ht="25.5" outlineLevel="1">
      <c r="A88" s="21"/>
      <c r="B88" s="116" t="s">
        <v>84</v>
      </c>
      <c r="C88" s="116">
        <v>90843</v>
      </c>
      <c r="D88" s="116" t="s">
        <v>209</v>
      </c>
      <c r="E88" s="115" t="s">
        <v>152</v>
      </c>
      <c r="F88" s="119" t="s">
        <v>23</v>
      </c>
      <c r="G88" s="153">
        <v>13</v>
      </c>
      <c r="H88" s="154">
        <v>680.15</v>
      </c>
      <c r="I88" s="153">
        <f t="shared" ref="I88:I100" si="18">H88*1.2882</f>
        <v>876.16922999999997</v>
      </c>
      <c r="J88" s="213">
        <f t="shared" ref="J88:J90" si="19">TRUNC(I88*G88,2)</f>
        <v>11390.19</v>
      </c>
      <c r="L88" s="130">
        <v>628.97</v>
      </c>
    </row>
    <row r="89" spans="1:12" ht="25.5" outlineLevel="1">
      <c r="A89" s="21"/>
      <c r="B89" s="116" t="s">
        <v>85</v>
      </c>
      <c r="C89" s="116">
        <v>90844</v>
      </c>
      <c r="D89" s="116" t="s">
        <v>209</v>
      </c>
      <c r="E89" s="115" t="s">
        <v>213</v>
      </c>
      <c r="F89" s="119" t="s">
        <v>23</v>
      </c>
      <c r="G89" s="153">
        <v>17</v>
      </c>
      <c r="H89" s="154">
        <v>709.39</v>
      </c>
      <c r="I89" s="153">
        <f t="shared" si="18"/>
        <v>913.83619799999997</v>
      </c>
      <c r="J89" s="213">
        <f t="shared" si="19"/>
        <v>15535.21</v>
      </c>
      <c r="L89" s="130">
        <v>654.9</v>
      </c>
    </row>
    <row r="90" spans="1:12" ht="25.5" outlineLevel="1">
      <c r="A90" s="21"/>
      <c r="B90" s="116" t="s">
        <v>86</v>
      </c>
      <c r="C90" s="116">
        <v>90841</v>
      </c>
      <c r="D90" s="116" t="s">
        <v>209</v>
      </c>
      <c r="E90" s="115" t="s">
        <v>214</v>
      </c>
      <c r="F90" s="119" t="s">
        <v>23</v>
      </c>
      <c r="G90" s="153">
        <v>4</v>
      </c>
      <c r="H90" s="154">
        <v>613.37</v>
      </c>
      <c r="I90" s="153">
        <f t="shared" si="18"/>
        <v>790.14323400000001</v>
      </c>
      <c r="J90" s="213">
        <f t="shared" si="19"/>
        <v>3160.57</v>
      </c>
      <c r="L90" s="130">
        <v>568.76</v>
      </c>
    </row>
    <row r="91" spans="1:12" ht="20.100000000000001" customHeight="1" outlineLevel="1">
      <c r="A91" s="21"/>
      <c r="B91" s="124" t="s">
        <v>45</v>
      </c>
      <c r="C91" s="116"/>
      <c r="D91" s="116"/>
      <c r="E91" s="117" t="s">
        <v>58</v>
      </c>
      <c r="F91" s="116"/>
      <c r="G91" s="153"/>
      <c r="H91" s="154"/>
      <c r="I91" s="153">
        <f t="shared" si="18"/>
        <v>0</v>
      </c>
      <c r="J91" s="153"/>
    </row>
    <row r="92" spans="1:12" s="134" customFormat="1" ht="19.5" customHeight="1" outlineLevel="1">
      <c r="A92" s="131"/>
      <c r="B92" s="132" t="s">
        <v>87</v>
      </c>
      <c r="C92" s="132">
        <v>36209</v>
      </c>
      <c r="D92" s="116" t="s">
        <v>209</v>
      </c>
      <c r="E92" s="137" t="s">
        <v>168</v>
      </c>
      <c r="F92" s="135" t="s">
        <v>23</v>
      </c>
      <c r="G92" s="154">
        <v>4</v>
      </c>
      <c r="H92" s="154">
        <v>256.91000000000003</v>
      </c>
      <c r="I92" s="153">
        <f t="shared" si="18"/>
        <v>330.95146200000005</v>
      </c>
      <c r="J92" s="213">
        <f t="shared" ref="J92:J93" si="20">TRUNC(I92*G92,2)</f>
        <v>1323.8</v>
      </c>
      <c r="L92" s="134">
        <v>253.26</v>
      </c>
    </row>
    <row r="93" spans="1:12" s="134" customFormat="1" ht="20.100000000000001" customHeight="1" outlineLevel="1">
      <c r="A93" s="131"/>
      <c r="B93" s="132" t="s">
        <v>88</v>
      </c>
      <c r="C93" s="132">
        <v>12760</v>
      </c>
      <c r="D93" s="116" t="s">
        <v>209</v>
      </c>
      <c r="E93" s="137" t="s">
        <v>162</v>
      </c>
      <c r="F93" s="132" t="s">
        <v>28</v>
      </c>
      <c r="G93" s="154">
        <f>1.2*0.6*4</f>
        <v>2.88</v>
      </c>
      <c r="H93" s="154">
        <v>1014.71</v>
      </c>
      <c r="I93" s="153">
        <f t="shared" si="18"/>
        <v>1307.149422</v>
      </c>
      <c r="J93" s="213">
        <f t="shared" si="20"/>
        <v>3764.59</v>
      </c>
      <c r="L93" s="134">
        <v>915.57</v>
      </c>
    </row>
    <row r="94" spans="1:12" ht="20.100000000000001" customHeight="1" outlineLevel="1">
      <c r="A94" s="21"/>
      <c r="B94" s="124" t="s">
        <v>54</v>
      </c>
      <c r="C94" s="116"/>
      <c r="D94" s="116"/>
      <c r="E94" s="117" t="s">
        <v>232</v>
      </c>
      <c r="F94" s="116"/>
      <c r="G94" s="153"/>
      <c r="H94" s="154"/>
      <c r="I94" s="153">
        <f t="shared" si="18"/>
        <v>0</v>
      </c>
      <c r="J94" s="153"/>
    </row>
    <row r="95" spans="1:12" s="134" customFormat="1" ht="19.5" customHeight="1" outlineLevel="1">
      <c r="A95" s="131"/>
      <c r="B95" s="139" t="s">
        <v>89</v>
      </c>
      <c r="C95" s="132">
        <v>34713</v>
      </c>
      <c r="D95" s="116" t="s">
        <v>209</v>
      </c>
      <c r="E95" s="137" t="s">
        <v>233</v>
      </c>
      <c r="F95" s="132" t="s">
        <v>28</v>
      </c>
      <c r="G95" s="154">
        <f>2.3*3.5</f>
        <v>8.0499999999999989</v>
      </c>
      <c r="H95" s="154">
        <v>237.05</v>
      </c>
      <c r="I95" s="153">
        <f t="shared" si="18"/>
        <v>305.36781000000002</v>
      </c>
      <c r="J95" s="213">
        <f t="shared" ref="J95:J97" si="21">TRUNC(I95*G95,2)</f>
        <v>2458.21</v>
      </c>
      <c r="L95" s="134">
        <v>227.51</v>
      </c>
    </row>
    <row r="96" spans="1:12" s="134" customFormat="1" ht="19.5" customHeight="1" outlineLevel="1">
      <c r="A96" s="131"/>
      <c r="B96" s="139" t="s">
        <v>234</v>
      </c>
      <c r="C96" s="132">
        <v>84886</v>
      </c>
      <c r="D96" s="116" t="s">
        <v>209</v>
      </c>
      <c r="E96" s="137" t="s">
        <v>236</v>
      </c>
      <c r="F96" s="132" t="s">
        <v>23</v>
      </c>
      <c r="G96" s="154">
        <v>2</v>
      </c>
      <c r="H96" s="154">
        <v>1019.68</v>
      </c>
      <c r="I96" s="153">
        <f t="shared" si="18"/>
        <v>1313.551776</v>
      </c>
      <c r="J96" s="213">
        <f t="shared" si="21"/>
        <v>2627.1</v>
      </c>
      <c r="L96" s="134">
        <v>995.89</v>
      </c>
    </row>
    <row r="97" spans="1:12" s="134" customFormat="1" ht="19.5" customHeight="1" outlineLevel="1">
      <c r="A97" s="131"/>
      <c r="B97" s="139" t="s">
        <v>235</v>
      </c>
      <c r="C97" s="132">
        <v>84885</v>
      </c>
      <c r="D97" s="116" t="s">
        <v>209</v>
      </c>
      <c r="E97" s="137" t="s">
        <v>237</v>
      </c>
      <c r="F97" s="132" t="s">
        <v>23</v>
      </c>
      <c r="G97" s="154">
        <v>2</v>
      </c>
      <c r="H97" s="154">
        <v>563.74</v>
      </c>
      <c r="I97" s="153">
        <f t="shared" si="18"/>
        <v>726.20986800000003</v>
      </c>
      <c r="J97" s="213">
        <f t="shared" si="21"/>
        <v>1452.41</v>
      </c>
      <c r="L97" s="134">
        <v>529.74</v>
      </c>
    </row>
    <row r="98" spans="1:12" ht="20.100000000000001" customHeight="1" outlineLevel="1">
      <c r="A98" s="21"/>
      <c r="B98" s="124" t="s">
        <v>55</v>
      </c>
      <c r="C98" s="11"/>
      <c r="D98" s="11"/>
      <c r="E98" s="117" t="s">
        <v>8</v>
      </c>
      <c r="F98" s="116"/>
      <c r="G98" s="153"/>
      <c r="H98" s="154"/>
      <c r="I98" s="153">
        <f t="shared" si="18"/>
        <v>0</v>
      </c>
      <c r="J98" s="153"/>
    </row>
    <row r="99" spans="1:12" ht="20.100000000000001" customHeight="1" outlineLevel="1">
      <c r="A99" s="21"/>
      <c r="B99" s="144" t="s">
        <v>238</v>
      </c>
      <c r="C99" s="116" t="s">
        <v>70</v>
      </c>
      <c r="D99" s="116" t="s">
        <v>209</v>
      </c>
      <c r="E99" s="115" t="s">
        <v>174</v>
      </c>
      <c r="F99" s="116" t="s">
        <v>28</v>
      </c>
      <c r="G99" s="154">
        <f>1.2*0.6*3</f>
        <v>2.16</v>
      </c>
      <c r="H99" s="154">
        <v>446.17</v>
      </c>
      <c r="I99" s="153">
        <f t="shared" si="18"/>
        <v>574.75619400000005</v>
      </c>
      <c r="J99" s="213">
        <f t="shared" ref="J99:J100" si="22">TRUNC(I99*G99,2)</f>
        <v>1241.47</v>
      </c>
      <c r="L99" s="130">
        <v>374.68</v>
      </c>
    </row>
    <row r="100" spans="1:12" s="134" customFormat="1" ht="20.100000000000001" customHeight="1" outlineLevel="1">
      <c r="A100" s="131"/>
      <c r="B100" s="144" t="s">
        <v>239</v>
      </c>
      <c r="C100" s="132">
        <v>72120</v>
      </c>
      <c r="D100" s="116" t="s">
        <v>209</v>
      </c>
      <c r="E100" s="137" t="s">
        <v>230</v>
      </c>
      <c r="F100" s="132" t="s">
        <v>28</v>
      </c>
      <c r="G100" s="154">
        <v>35</v>
      </c>
      <c r="H100" s="154">
        <v>256.44</v>
      </c>
      <c r="I100" s="153">
        <f t="shared" si="18"/>
        <v>330.34600799999998</v>
      </c>
      <c r="J100" s="213">
        <f t="shared" si="22"/>
        <v>11562.11</v>
      </c>
      <c r="L100" s="134">
        <v>243.34</v>
      </c>
    </row>
    <row r="101" spans="1:12" ht="20.100000000000001" customHeight="1" outlineLevel="1">
      <c r="A101" s="21"/>
      <c r="B101" s="127"/>
      <c r="C101" s="127"/>
      <c r="D101" s="127"/>
      <c r="E101" s="127"/>
      <c r="F101" s="127"/>
      <c r="G101" s="11"/>
      <c r="H101" s="143" t="s">
        <v>61</v>
      </c>
      <c r="I101" s="153"/>
      <c r="J101" s="155">
        <f>SUM(J87:J100)</f>
        <v>54515.66</v>
      </c>
      <c r="L101" s="130" t="s">
        <v>61</v>
      </c>
    </row>
    <row r="102" spans="1:12" ht="20.100000000000001" customHeight="1">
      <c r="A102" s="21"/>
      <c r="B102" s="21"/>
      <c r="C102" s="21"/>
      <c r="D102" s="21"/>
      <c r="E102" s="3"/>
      <c r="F102" s="21"/>
      <c r="G102" s="15"/>
      <c r="H102" s="160"/>
      <c r="I102" s="21"/>
      <c r="J102" s="157"/>
    </row>
    <row r="103" spans="1:12" ht="20.100000000000001" customHeight="1">
      <c r="A103" s="21"/>
      <c r="B103" s="125">
        <v>7</v>
      </c>
      <c r="C103" s="125"/>
      <c r="D103" s="125"/>
      <c r="E103" s="187" t="s">
        <v>133</v>
      </c>
      <c r="F103" s="120"/>
      <c r="G103" s="151"/>
      <c r="H103" s="161"/>
      <c r="I103" s="125"/>
      <c r="J103" s="152">
        <f>J110</f>
        <v>101568.1</v>
      </c>
    </row>
    <row r="104" spans="1:12" ht="25.5" outlineLevel="1">
      <c r="A104" s="21"/>
      <c r="B104" s="116" t="s">
        <v>34</v>
      </c>
      <c r="C104" s="44">
        <v>92549</v>
      </c>
      <c r="D104" s="44" t="s">
        <v>209</v>
      </c>
      <c r="E104" s="115" t="s">
        <v>353</v>
      </c>
      <c r="F104" s="119" t="s">
        <v>354</v>
      </c>
      <c r="G104" s="153">
        <f>8*2</f>
        <v>16</v>
      </c>
      <c r="H104" s="154">
        <v>1029.1600000000001</v>
      </c>
      <c r="I104" s="153">
        <f t="shared" ref="I104:I109" si="23">H104*1.2882</f>
        <v>1325.7639120000001</v>
      </c>
      <c r="J104" s="213">
        <f t="shared" ref="J104:J109" si="24">TRUNC(I104*G104,2)</f>
        <v>21212.22</v>
      </c>
      <c r="L104" s="130">
        <v>55.79</v>
      </c>
    </row>
    <row r="105" spans="1:12" ht="38.25" outlineLevel="1">
      <c r="A105" s="21"/>
      <c r="B105" s="116" t="s">
        <v>241</v>
      </c>
      <c r="C105" s="44">
        <v>92580</v>
      </c>
      <c r="D105" s="44" t="s">
        <v>209</v>
      </c>
      <c r="E105" s="115" t="s">
        <v>240</v>
      </c>
      <c r="F105" s="119" t="s">
        <v>28</v>
      </c>
      <c r="G105" s="153">
        <f>G75</f>
        <v>635.98</v>
      </c>
      <c r="H105" s="154">
        <v>33.49</v>
      </c>
      <c r="I105" s="153">
        <f t="shared" si="23"/>
        <v>43.141818000000001</v>
      </c>
      <c r="J105" s="213">
        <f t="shared" si="24"/>
        <v>27437.33</v>
      </c>
      <c r="L105" s="130">
        <v>22.63</v>
      </c>
    </row>
    <row r="106" spans="1:12" ht="20.100000000000001" customHeight="1" outlineLevel="1">
      <c r="A106" s="21"/>
      <c r="B106" s="116" t="s">
        <v>242</v>
      </c>
      <c r="C106" s="109">
        <v>94210</v>
      </c>
      <c r="D106" s="116" t="s">
        <v>209</v>
      </c>
      <c r="E106" s="115" t="s">
        <v>215</v>
      </c>
      <c r="F106" s="116" t="s">
        <v>28</v>
      </c>
      <c r="G106" s="153">
        <f>G105</f>
        <v>635.98</v>
      </c>
      <c r="H106" s="154">
        <v>34.92</v>
      </c>
      <c r="I106" s="153">
        <f t="shared" si="23"/>
        <v>44.983944000000001</v>
      </c>
      <c r="J106" s="213">
        <f t="shared" si="24"/>
        <v>28608.880000000001</v>
      </c>
      <c r="L106" s="130">
        <v>33.049999999999997</v>
      </c>
    </row>
    <row r="107" spans="1:12" ht="20.100000000000001" customHeight="1" outlineLevel="1">
      <c r="A107" s="21"/>
      <c r="B107" s="116" t="s">
        <v>57</v>
      </c>
      <c r="C107" s="110">
        <v>94223</v>
      </c>
      <c r="D107" s="116" t="s">
        <v>209</v>
      </c>
      <c r="E107" s="115" t="s">
        <v>216</v>
      </c>
      <c r="F107" s="116" t="s">
        <v>32</v>
      </c>
      <c r="G107" s="153">
        <v>51.5</v>
      </c>
      <c r="H107" s="154">
        <v>39.700000000000003</v>
      </c>
      <c r="I107" s="153">
        <f t="shared" si="23"/>
        <v>51.141540000000006</v>
      </c>
      <c r="J107" s="213">
        <f t="shared" si="24"/>
        <v>2633.78</v>
      </c>
      <c r="L107" s="130">
        <v>39.01</v>
      </c>
    </row>
    <row r="108" spans="1:12" ht="25.5" outlineLevel="1">
      <c r="A108" s="21"/>
      <c r="B108" s="116" t="s">
        <v>355</v>
      </c>
      <c r="C108" s="110">
        <v>94229</v>
      </c>
      <c r="D108" s="116" t="s">
        <v>209</v>
      </c>
      <c r="E108" s="115" t="s">
        <v>357</v>
      </c>
      <c r="F108" s="116" t="s">
        <v>32</v>
      </c>
      <c r="G108" s="153">
        <v>100</v>
      </c>
      <c r="H108" s="154">
        <v>116.11</v>
      </c>
      <c r="I108" s="153">
        <f t="shared" si="23"/>
        <v>149.572902</v>
      </c>
      <c r="J108" s="213">
        <f t="shared" si="24"/>
        <v>14957.29</v>
      </c>
    </row>
    <row r="109" spans="1:12" ht="25.5" outlineLevel="1">
      <c r="A109" s="21"/>
      <c r="B109" s="116" t="s">
        <v>356</v>
      </c>
      <c r="C109" s="110">
        <v>94231</v>
      </c>
      <c r="D109" s="116" t="s">
        <v>209</v>
      </c>
      <c r="E109" s="115" t="s">
        <v>358</v>
      </c>
      <c r="F109" s="116" t="s">
        <v>32</v>
      </c>
      <c r="G109" s="153">
        <v>150</v>
      </c>
      <c r="H109" s="154">
        <v>34.770000000000003</v>
      </c>
      <c r="I109" s="153">
        <f t="shared" si="23"/>
        <v>44.790714000000001</v>
      </c>
      <c r="J109" s="213">
        <f t="shared" si="24"/>
        <v>6718.6</v>
      </c>
    </row>
    <row r="110" spans="1:12" ht="20.100000000000001" customHeight="1" outlineLevel="1">
      <c r="A110" s="21"/>
      <c r="B110" s="127"/>
      <c r="C110" s="11"/>
      <c r="D110" s="127"/>
      <c r="E110" s="127"/>
      <c r="F110" s="127"/>
      <c r="G110" s="11"/>
      <c r="H110" s="143" t="s">
        <v>61</v>
      </c>
      <c r="I110" s="153"/>
      <c r="J110" s="155">
        <f>SUM(J104:J109)</f>
        <v>101568.1</v>
      </c>
      <c r="L110" s="130" t="s">
        <v>61</v>
      </c>
    </row>
    <row r="111" spans="1:12" ht="20.100000000000001" customHeight="1">
      <c r="A111" s="21"/>
      <c r="B111" s="21"/>
      <c r="C111" s="21"/>
      <c r="D111" s="21"/>
      <c r="E111" s="3"/>
      <c r="F111" s="21"/>
      <c r="G111" s="15"/>
      <c r="H111" s="160"/>
      <c r="I111" s="21"/>
      <c r="J111" s="157"/>
    </row>
    <row r="112" spans="1:12" ht="20.100000000000001" customHeight="1">
      <c r="A112" s="21"/>
      <c r="B112" s="125">
        <v>8</v>
      </c>
      <c r="C112" s="125"/>
      <c r="D112" s="125"/>
      <c r="E112" s="187" t="s">
        <v>93</v>
      </c>
      <c r="F112" s="120"/>
      <c r="G112" s="151"/>
      <c r="H112" s="161"/>
      <c r="I112" s="125"/>
      <c r="J112" s="152">
        <f>J114</f>
        <v>2660.2</v>
      </c>
    </row>
    <row r="113" spans="1:12" ht="20.100000000000001" customHeight="1" outlineLevel="1">
      <c r="A113" s="21"/>
      <c r="B113" s="116" t="s">
        <v>35</v>
      </c>
      <c r="C113" s="116" t="s">
        <v>359</v>
      </c>
      <c r="D113" s="116" t="s">
        <v>209</v>
      </c>
      <c r="E113" s="115" t="s">
        <v>175</v>
      </c>
      <c r="F113" s="116" t="s">
        <v>28</v>
      </c>
      <c r="G113" s="153">
        <f>Q34*(0.3+0.15*2)</f>
        <v>240.40199999999999</v>
      </c>
      <c r="H113" s="154">
        <v>8.59</v>
      </c>
      <c r="I113" s="153">
        <f>H113*1.2882</f>
        <v>11.065638</v>
      </c>
      <c r="J113" s="213">
        <f t="shared" ref="J113" si="25">TRUNC(I113*G113,2)</f>
        <v>2660.2</v>
      </c>
      <c r="L113" s="130">
        <v>7.9</v>
      </c>
    </row>
    <row r="114" spans="1:12" ht="20.100000000000001" customHeight="1" outlineLevel="1">
      <c r="A114" s="21"/>
      <c r="B114" s="127"/>
      <c r="C114" s="127"/>
      <c r="D114" s="127"/>
      <c r="E114" s="127"/>
      <c r="F114" s="127"/>
      <c r="G114" s="11"/>
      <c r="H114" s="143" t="s">
        <v>61</v>
      </c>
      <c r="I114" s="153"/>
      <c r="J114" s="155">
        <f>SUM(J113:J113)</f>
        <v>2660.2</v>
      </c>
      <c r="L114" s="130" t="s">
        <v>61</v>
      </c>
    </row>
    <row r="115" spans="1:12" ht="20.100000000000001" customHeight="1">
      <c r="A115" s="21"/>
      <c r="B115" s="21"/>
      <c r="C115" s="21"/>
      <c r="D115" s="21"/>
      <c r="E115" s="3"/>
      <c r="F115" s="21"/>
      <c r="G115" s="15"/>
      <c r="H115" s="160"/>
      <c r="I115" s="21"/>
      <c r="J115" s="157"/>
    </row>
    <row r="116" spans="1:12" ht="20.100000000000001" customHeight="1">
      <c r="A116" s="21"/>
      <c r="B116" s="125">
        <v>9</v>
      </c>
      <c r="C116" s="125"/>
      <c r="D116" s="125"/>
      <c r="E116" s="187" t="s">
        <v>157</v>
      </c>
      <c r="F116" s="120"/>
      <c r="G116" s="162"/>
      <c r="H116" s="161"/>
      <c r="I116" s="125"/>
      <c r="J116" s="152">
        <f>J122</f>
        <v>132147.87</v>
      </c>
    </row>
    <row r="117" spans="1:12" ht="20.100000000000001" customHeight="1" outlineLevel="1">
      <c r="A117" s="21"/>
      <c r="B117" s="116" t="s">
        <v>46</v>
      </c>
      <c r="C117" s="44">
        <v>87879</v>
      </c>
      <c r="D117" s="129" t="s">
        <v>209</v>
      </c>
      <c r="E117" s="46" t="s">
        <v>141</v>
      </c>
      <c r="F117" s="116" t="s">
        <v>28</v>
      </c>
      <c r="G117" s="153">
        <v>2683.24</v>
      </c>
      <c r="H117" s="154">
        <v>2.64</v>
      </c>
      <c r="I117" s="153">
        <f t="shared" ref="I117:I121" si="26">H117*1.2882</f>
        <v>3.4008480000000003</v>
      </c>
      <c r="J117" s="213">
        <f t="shared" ref="J117:J121" si="27">TRUNC(I117*G117,2)</f>
        <v>9125.2900000000009</v>
      </c>
      <c r="L117" s="130">
        <v>5.38</v>
      </c>
    </row>
    <row r="118" spans="1:12" ht="20.100000000000001" customHeight="1" outlineLevel="1">
      <c r="A118" s="21"/>
      <c r="B118" s="116" t="s">
        <v>71</v>
      </c>
      <c r="C118" s="44">
        <v>87882</v>
      </c>
      <c r="D118" s="129" t="s">
        <v>209</v>
      </c>
      <c r="E118" s="46" t="s">
        <v>132</v>
      </c>
      <c r="F118" s="116" t="s">
        <v>28</v>
      </c>
      <c r="G118" s="153">
        <f>G75</f>
        <v>635.98</v>
      </c>
      <c r="H118" s="154">
        <v>3.7</v>
      </c>
      <c r="I118" s="153">
        <f t="shared" si="26"/>
        <v>4.7663400000000005</v>
      </c>
      <c r="J118" s="213">
        <f t="shared" si="27"/>
        <v>3031.29</v>
      </c>
      <c r="L118" s="130">
        <v>3.38</v>
      </c>
    </row>
    <row r="119" spans="1:12" s="134" customFormat="1" ht="20.100000000000001" customHeight="1" outlineLevel="1">
      <c r="A119" s="131"/>
      <c r="B119" s="132" t="s">
        <v>47</v>
      </c>
      <c r="C119" s="140">
        <v>89173</v>
      </c>
      <c r="D119" s="129" t="s">
        <v>209</v>
      </c>
      <c r="E119" s="133" t="s">
        <v>384</v>
      </c>
      <c r="F119" s="132" t="s">
        <v>28</v>
      </c>
      <c r="G119" s="154">
        <f>G117</f>
        <v>2683.24</v>
      </c>
      <c r="H119" s="214">
        <v>23.76</v>
      </c>
      <c r="I119" s="153">
        <f t="shared" si="26"/>
        <v>30.607632000000002</v>
      </c>
      <c r="J119" s="213">
        <f t="shared" si="27"/>
        <v>82127.62</v>
      </c>
      <c r="L119" s="134">
        <v>25.39</v>
      </c>
    </row>
    <row r="120" spans="1:12" ht="20.100000000000001" customHeight="1" outlineLevel="1">
      <c r="A120" s="21"/>
      <c r="B120" s="116" t="s">
        <v>48</v>
      </c>
      <c r="C120" s="206">
        <v>90406</v>
      </c>
      <c r="D120" s="129" t="s">
        <v>209</v>
      </c>
      <c r="E120" s="46" t="s">
        <v>383</v>
      </c>
      <c r="F120" s="116" t="s">
        <v>28</v>
      </c>
      <c r="G120" s="153">
        <f>G118</f>
        <v>635.98</v>
      </c>
      <c r="H120" s="214">
        <v>30.87</v>
      </c>
      <c r="I120" s="153">
        <f t="shared" si="26"/>
        <v>39.766734</v>
      </c>
      <c r="J120" s="213">
        <f t="shared" si="27"/>
        <v>25290.84</v>
      </c>
      <c r="L120" s="130">
        <v>21.31</v>
      </c>
    </row>
    <row r="121" spans="1:12" ht="19.5" customHeight="1" outlineLevel="1">
      <c r="A121" s="21"/>
      <c r="B121" s="116" t="s">
        <v>72</v>
      </c>
      <c r="C121" s="47">
        <v>87275</v>
      </c>
      <c r="D121" s="129" t="s">
        <v>209</v>
      </c>
      <c r="E121" s="115" t="s">
        <v>173</v>
      </c>
      <c r="F121" s="116" t="s">
        <v>28</v>
      </c>
      <c r="G121" s="153">
        <v>200</v>
      </c>
      <c r="H121" s="154">
        <v>48.8</v>
      </c>
      <c r="I121" s="153">
        <f t="shared" si="26"/>
        <v>62.864159999999998</v>
      </c>
      <c r="J121" s="213">
        <f t="shared" si="27"/>
        <v>12572.83</v>
      </c>
      <c r="L121" s="130">
        <v>57.37</v>
      </c>
    </row>
    <row r="122" spans="1:12" ht="20.100000000000001" customHeight="1" outlineLevel="1">
      <c r="A122" s="21"/>
      <c r="B122" s="127"/>
      <c r="C122" s="127"/>
      <c r="D122" s="127"/>
      <c r="E122" s="127"/>
      <c r="F122" s="127"/>
      <c r="G122" s="11"/>
      <c r="H122" s="143" t="s">
        <v>61</v>
      </c>
      <c r="I122" s="153"/>
      <c r="J122" s="155">
        <f>SUM(J117:J121)</f>
        <v>132147.87</v>
      </c>
      <c r="L122" s="130" t="s">
        <v>61</v>
      </c>
    </row>
    <row r="123" spans="1:12" ht="20.100000000000001" customHeight="1">
      <c r="A123" s="21"/>
      <c r="B123" s="21"/>
      <c r="C123" s="21"/>
      <c r="D123" s="21"/>
      <c r="E123" s="3"/>
      <c r="F123" s="21"/>
      <c r="G123" s="15"/>
      <c r="H123" s="160"/>
      <c r="I123" s="21"/>
      <c r="J123" s="157"/>
    </row>
    <row r="124" spans="1:12" ht="20.100000000000001" customHeight="1">
      <c r="A124" s="21"/>
      <c r="B124" s="125">
        <v>10</v>
      </c>
      <c r="C124" s="125"/>
      <c r="D124" s="125"/>
      <c r="E124" s="187" t="s">
        <v>161</v>
      </c>
      <c r="F124" s="120"/>
      <c r="G124" s="151"/>
      <c r="H124" s="161"/>
      <c r="I124" s="125"/>
      <c r="J124" s="152">
        <f>J131</f>
        <v>73665.460000000006</v>
      </c>
    </row>
    <row r="125" spans="1:12" s="20" customFormat="1" ht="20.100000000000001" customHeight="1" outlineLevel="1">
      <c r="A125" s="21"/>
      <c r="B125" s="11" t="s">
        <v>49</v>
      </c>
      <c r="C125" s="116"/>
      <c r="D125" s="116"/>
      <c r="E125" s="117" t="s">
        <v>112</v>
      </c>
      <c r="F125" s="116"/>
      <c r="G125" s="153"/>
      <c r="H125" s="154"/>
      <c r="I125" s="153">
        <f t="shared" ref="I125:I166" si="28">H125*1.315</f>
        <v>0</v>
      </c>
      <c r="J125" s="153"/>
    </row>
    <row r="126" spans="1:12" s="20" customFormat="1" ht="19.5" customHeight="1" outlineLevel="1">
      <c r="A126" s="21"/>
      <c r="B126" s="116" t="s">
        <v>90</v>
      </c>
      <c r="C126" s="111">
        <v>87690</v>
      </c>
      <c r="D126" s="129" t="s">
        <v>209</v>
      </c>
      <c r="E126" s="115" t="s">
        <v>137</v>
      </c>
      <c r="F126" s="116" t="s">
        <v>28</v>
      </c>
      <c r="G126" s="153">
        <f>G75</f>
        <v>635.98</v>
      </c>
      <c r="H126" s="153">
        <v>30.08</v>
      </c>
      <c r="I126" s="153">
        <f t="shared" ref="I126:I130" si="29">H126*1.2882</f>
        <v>38.749055999999996</v>
      </c>
      <c r="J126" s="213">
        <f t="shared" ref="J126:J128" si="30">TRUNC(I126*G126,2)</f>
        <v>24643.62</v>
      </c>
      <c r="L126" s="20">
        <v>28.9</v>
      </c>
    </row>
    <row r="127" spans="1:12" ht="25.5" outlineLevel="1">
      <c r="A127" s="21"/>
      <c r="B127" s="116" t="s">
        <v>91</v>
      </c>
      <c r="C127" s="47">
        <v>87257</v>
      </c>
      <c r="D127" s="129" t="s">
        <v>209</v>
      </c>
      <c r="E127" s="115" t="s">
        <v>367</v>
      </c>
      <c r="F127" s="116" t="s">
        <v>28</v>
      </c>
      <c r="G127" s="153">
        <f>G126</f>
        <v>635.98</v>
      </c>
      <c r="H127" s="153">
        <v>48.79</v>
      </c>
      <c r="I127" s="153">
        <f t="shared" si="29"/>
        <v>62.851278000000001</v>
      </c>
      <c r="J127" s="213">
        <f t="shared" si="30"/>
        <v>39972.15</v>
      </c>
      <c r="L127" s="130">
        <v>33.75</v>
      </c>
    </row>
    <row r="128" spans="1:12" ht="25.5" outlineLevel="1">
      <c r="A128" s="21"/>
      <c r="B128" s="116" t="s">
        <v>374</v>
      </c>
      <c r="C128" s="47">
        <v>87257</v>
      </c>
      <c r="D128" s="129" t="s">
        <v>209</v>
      </c>
      <c r="E128" s="115" t="s">
        <v>371</v>
      </c>
      <c r="F128" s="116" t="s">
        <v>28</v>
      </c>
      <c r="G128" s="153">
        <v>71.400000000000006</v>
      </c>
      <c r="H128" s="153">
        <v>48.79</v>
      </c>
      <c r="I128" s="153">
        <f t="shared" ref="I128" si="31">H128*1.2882</f>
        <v>62.851278000000001</v>
      </c>
      <c r="J128" s="213">
        <f t="shared" si="30"/>
        <v>4487.58</v>
      </c>
    </row>
    <row r="129" spans="1:12" s="20" customFormat="1" ht="20.100000000000001" customHeight="1" outlineLevel="1">
      <c r="A129" s="21"/>
      <c r="B129" s="11" t="s">
        <v>50</v>
      </c>
      <c r="C129" s="116"/>
      <c r="D129" s="116"/>
      <c r="E129" s="117" t="s">
        <v>56</v>
      </c>
      <c r="F129" s="116"/>
      <c r="G129" s="153"/>
      <c r="H129" s="154"/>
      <c r="I129" s="153">
        <f t="shared" si="29"/>
        <v>0</v>
      </c>
      <c r="J129" s="153"/>
    </row>
    <row r="130" spans="1:12" ht="19.5" customHeight="1" outlineLevel="1">
      <c r="A130" s="21"/>
      <c r="B130" s="116" t="s">
        <v>92</v>
      </c>
      <c r="C130" s="116">
        <v>94990</v>
      </c>
      <c r="D130" s="129" t="s">
        <v>209</v>
      </c>
      <c r="E130" s="115" t="s">
        <v>120</v>
      </c>
      <c r="F130" s="119" t="s">
        <v>26</v>
      </c>
      <c r="G130" s="153">
        <f>120*0.06</f>
        <v>7.1999999999999993</v>
      </c>
      <c r="H130" s="154">
        <v>491.87</v>
      </c>
      <c r="I130" s="153">
        <f t="shared" si="29"/>
        <v>633.62693400000001</v>
      </c>
      <c r="J130" s="213">
        <f t="shared" ref="J130" si="32">TRUNC(I130*G130,2)</f>
        <v>4562.1099999999997</v>
      </c>
      <c r="L130" s="130">
        <v>35.619999999999997</v>
      </c>
    </row>
    <row r="131" spans="1:12" ht="20.100000000000001" customHeight="1" outlineLevel="1">
      <c r="A131" s="21"/>
      <c r="B131" s="127"/>
      <c r="C131" s="127"/>
      <c r="D131" s="127"/>
      <c r="E131" s="127"/>
      <c r="F131" s="127"/>
      <c r="G131" s="11"/>
      <c r="H131" s="143" t="s">
        <v>61</v>
      </c>
      <c r="I131" s="153"/>
      <c r="J131" s="155">
        <f>SUM(J125:J130)</f>
        <v>73665.460000000006</v>
      </c>
      <c r="L131" s="130" t="s">
        <v>61</v>
      </c>
    </row>
    <row r="132" spans="1:12" ht="20.100000000000001" customHeight="1">
      <c r="A132" s="21"/>
      <c r="B132" s="21"/>
      <c r="C132" s="21"/>
      <c r="D132" s="21"/>
      <c r="E132" s="3"/>
      <c r="F132" s="21"/>
      <c r="G132" s="15"/>
      <c r="H132" s="160"/>
      <c r="I132" s="21"/>
      <c r="J132" s="157"/>
    </row>
    <row r="133" spans="1:12" ht="20.100000000000001" customHeight="1">
      <c r="A133" s="21"/>
      <c r="B133" s="125">
        <v>11</v>
      </c>
      <c r="C133" s="125"/>
      <c r="D133" s="125"/>
      <c r="E133" s="187" t="s">
        <v>156</v>
      </c>
      <c r="F133" s="120"/>
      <c r="G133" s="151"/>
      <c r="H133" s="161"/>
      <c r="I133" s="125"/>
      <c r="J133" s="152">
        <f>J139</f>
        <v>89371.18</v>
      </c>
    </row>
    <row r="134" spans="1:12" ht="19.5" customHeight="1" outlineLevel="1">
      <c r="A134" s="21"/>
      <c r="B134" s="116" t="s">
        <v>0</v>
      </c>
      <c r="C134" s="116">
        <v>88486</v>
      </c>
      <c r="D134" s="116" t="s">
        <v>209</v>
      </c>
      <c r="E134" s="115" t="s">
        <v>153</v>
      </c>
      <c r="F134" s="116" t="s">
        <v>28</v>
      </c>
      <c r="G134" s="153">
        <f>G75</f>
        <v>635.98</v>
      </c>
      <c r="H134" s="154">
        <v>9.34</v>
      </c>
      <c r="I134" s="153">
        <f t="shared" ref="I134:I138" si="33">H134*1.2882</f>
        <v>12.031788000000001</v>
      </c>
      <c r="J134" s="213">
        <f t="shared" ref="J134:J138" si="34">TRUNC(I134*G134,2)</f>
        <v>7651.97</v>
      </c>
      <c r="L134" s="130">
        <v>8.3699999999999992</v>
      </c>
    </row>
    <row r="135" spans="1:12" ht="19.5" customHeight="1" outlineLevel="1">
      <c r="A135" s="21"/>
      <c r="B135" s="116" t="s">
        <v>73</v>
      </c>
      <c r="C135" s="116">
        <v>88489</v>
      </c>
      <c r="D135" s="116" t="s">
        <v>209</v>
      </c>
      <c r="E135" s="115" t="s">
        <v>154</v>
      </c>
      <c r="F135" s="116" t="s">
        <v>28</v>
      </c>
      <c r="G135" s="153">
        <f>1981.7-G121</f>
        <v>1781.7</v>
      </c>
      <c r="H135" s="154">
        <v>10.59</v>
      </c>
      <c r="I135" s="153">
        <f t="shared" si="33"/>
        <v>13.642037999999999</v>
      </c>
      <c r="J135" s="213">
        <f t="shared" si="34"/>
        <v>24306.01</v>
      </c>
      <c r="L135" s="130">
        <v>9.5</v>
      </c>
    </row>
    <row r="136" spans="1:12" ht="19.5" customHeight="1" outlineLevel="1">
      <c r="A136" s="21"/>
      <c r="B136" s="116" t="s">
        <v>9</v>
      </c>
      <c r="C136" s="116" t="s">
        <v>360</v>
      </c>
      <c r="D136" s="116" t="s">
        <v>209</v>
      </c>
      <c r="E136" s="115" t="s">
        <v>155</v>
      </c>
      <c r="F136" s="116" t="s">
        <v>28</v>
      </c>
      <c r="G136" s="153">
        <f>(G88+G89+G90)*3</f>
        <v>102</v>
      </c>
      <c r="H136" s="154">
        <v>21.63</v>
      </c>
      <c r="I136" s="153">
        <f t="shared" si="33"/>
        <v>27.863765999999998</v>
      </c>
      <c r="J136" s="213">
        <f t="shared" si="34"/>
        <v>2842.1</v>
      </c>
      <c r="L136" s="130">
        <v>18.579999999999998</v>
      </c>
    </row>
    <row r="137" spans="1:12" ht="20.100000000000001" customHeight="1" outlineLevel="1">
      <c r="A137" s="21"/>
      <c r="B137" s="116" t="s">
        <v>1</v>
      </c>
      <c r="C137" s="116">
        <v>96126</v>
      </c>
      <c r="D137" s="129" t="s">
        <v>209</v>
      </c>
      <c r="E137" s="115" t="s">
        <v>368</v>
      </c>
      <c r="F137" s="116" t="s">
        <v>28</v>
      </c>
      <c r="G137" s="153">
        <f>G134+G135</f>
        <v>2417.6800000000003</v>
      </c>
      <c r="H137" s="154">
        <v>14.33</v>
      </c>
      <c r="I137" s="153">
        <f t="shared" si="33"/>
        <v>18.459906</v>
      </c>
      <c r="J137" s="213">
        <f t="shared" si="34"/>
        <v>44630.14</v>
      </c>
      <c r="L137" s="130">
        <v>19.84</v>
      </c>
    </row>
    <row r="138" spans="1:12" ht="20.100000000000001" customHeight="1" outlineLevel="1">
      <c r="A138" s="21"/>
      <c r="B138" s="116" t="s">
        <v>369</v>
      </c>
      <c r="C138" s="116">
        <v>95305</v>
      </c>
      <c r="D138" s="129" t="s">
        <v>209</v>
      </c>
      <c r="E138" s="115" t="s">
        <v>370</v>
      </c>
      <c r="F138" s="116" t="s">
        <v>28</v>
      </c>
      <c r="G138" s="153">
        <v>701.54</v>
      </c>
      <c r="H138" s="154">
        <v>11</v>
      </c>
      <c r="I138" s="153">
        <f t="shared" si="33"/>
        <v>14.170199999999999</v>
      </c>
      <c r="J138" s="213">
        <f t="shared" si="34"/>
        <v>9940.9599999999991</v>
      </c>
    </row>
    <row r="139" spans="1:12" ht="20.100000000000001" customHeight="1" outlineLevel="1">
      <c r="A139" s="21"/>
      <c r="B139" s="127"/>
      <c r="C139" s="127"/>
      <c r="D139" s="127"/>
      <c r="E139" s="127"/>
      <c r="F139" s="127"/>
      <c r="G139" s="11"/>
      <c r="H139" s="143" t="s">
        <v>61</v>
      </c>
      <c r="I139" s="153"/>
      <c r="J139" s="155">
        <f>SUM(J134:J138)</f>
        <v>89371.18</v>
      </c>
      <c r="L139" s="130" t="s">
        <v>61</v>
      </c>
    </row>
    <row r="140" spans="1:12" s="20" customFormat="1" ht="20.100000000000001" customHeight="1">
      <c r="A140" s="21"/>
      <c r="B140" s="21"/>
      <c r="C140" s="21"/>
      <c r="D140" s="21"/>
      <c r="E140" s="3"/>
      <c r="F140" s="21"/>
      <c r="G140" s="15"/>
      <c r="H140" s="160"/>
      <c r="I140" s="21"/>
      <c r="J140" s="157"/>
    </row>
    <row r="141" spans="1:12" ht="20.100000000000001" customHeight="1">
      <c r="A141" s="21"/>
      <c r="B141" s="125">
        <v>12</v>
      </c>
      <c r="C141" s="125"/>
      <c r="D141" s="125"/>
      <c r="E141" s="187" t="s">
        <v>163</v>
      </c>
      <c r="F141" s="120"/>
      <c r="G141" s="151"/>
      <c r="H141" s="161"/>
      <c r="I141" s="125"/>
      <c r="J141" s="152">
        <f>J163</f>
        <v>5958.3099999999986</v>
      </c>
    </row>
    <row r="142" spans="1:12" s="20" customFormat="1" ht="20.100000000000001" customHeight="1" outlineLevel="1">
      <c r="A142" s="21"/>
      <c r="B142" s="13" t="s">
        <v>2</v>
      </c>
      <c r="C142" s="13"/>
      <c r="D142" s="13"/>
      <c r="E142" s="10" t="s">
        <v>185</v>
      </c>
      <c r="F142" s="128"/>
      <c r="G142" s="153"/>
      <c r="H142" s="154"/>
      <c r="I142" s="153">
        <f t="shared" ref="I142:I162" si="35">H142*1.2882</f>
        <v>0</v>
      </c>
      <c r="J142" s="153"/>
    </row>
    <row r="143" spans="1:12" s="20" customFormat="1" ht="20.100000000000001" customHeight="1" outlineLevel="1">
      <c r="A143" s="21"/>
      <c r="B143" s="129" t="s">
        <v>94</v>
      </c>
      <c r="C143" s="119">
        <v>89446</v>
      </c>
      <c r="D143" s="129" t="s">
        <v>209</v>
      </c>
      <c r="E143" s="118" t="s">
        <v>138</v>
      </c>
      <c r="F143" s="119" t="s">
        <v>32</v>
      </c>
      <c r="G143" s="153">
        <f>6*10</f>
        <v>60</v>
      </c>
      <c r="H143" s="154">
        <v>3.31</v>
      </c>
      <c r="I143" s="153">
        <f t="shared" si="35"/>
        <v>4.2639420000000001</v>
      </c>
      <c r="J143" s="213">
        <f t="shared" ref="J143:J151" si="36">TRUNC(I143*G143,2)</f>
        <v>255.83</v>
      </c>
      <c r="L143" s="20">
        <v>3.76</v>
      </c>
    </row>
    <row r="144" spans="1:12" s="20" customFormat="1" ht="20.100000000000001" customHeight="1" outlineLevel="1">
      <c r="A144" s="21"/>
      <c r="B144" s="129" t="s">
        <v>95</v>
      </c>
      <c r="C144" s="129">
        <v>89448</v>
      </c>
      <c r="D144" s="129" t="s">
        <v>209</v>
      </c>
      <c r="E144" s="118" t="s">
        <v>148</v>
      </c>
      <c r="F144" s="119" t="s">
        <v>32</v>
      </c>
      <c r="G144" s="153">
        <f>6*5</f>
        <v>30</v>
      </c>
      <c r="H144" s="154">
        <v>9.99</v>
      </c>
      <c r="I144" s="153">
        <f t="shared" si="35"/>
        <v>12.869118</v>
      </c>
      <c r="J144" s="213">
        <f t="shared" si="36"/>
        <v>386.07</v>
      </c>
      <c r="L144" s="20">
        <v>11.05</v>
      </c>
    </row>
    <row r="145" spans="1:12" s="20" customFormat="1" ht="20.100000000000001" customHeight="1" outlineLevel="1">
      <c r="A145" s="21"/>
      <c r="B145" s="129" t="s">
        <v>113</v>
      </c>
      <c r="C145" s="119">
        <v>89485</v>
      </c>
      <c r="D145" s="119" t="s">
        <v>209</v>
      </c>
      <c r="E145" s="118" t="s">
        <v>121</v>
      </c>
      <c r="F145" s="119" t="s">
        <v>23</v>
      </c>
      <c r="G145" s="153">
        <v>12</v>
      </c>
      <c r="H145" s="154">
        <v>3.59</v>
      </c>
      <c r="I145" s="153">
        <f t="shared" si="35"/>
        <v>4.624638</v>
      </c>
      <c r="J145" s="213">
        <f t="shared" si="36"/>
        <v>55.49</v>
      </c>
      <c r="L145" s="20">
        <v>3.21</v>
      </c>
    </row>
    <row r="146" spans="1:12" s="20" customFormat="1" ht="20.100000000000001" customHeight="1" outlineLevel="1">
      <c r="A146" s="21"/>
      <c r="B146" s="129" t="s">
        <v>114</v>
      </c>
      <c r="C146" s="119">
        <v>89481</v>
      </c>
      <c r="D146" s="119" t="s">
        <v>209</v>
      </c>
      <c r="E146" s="118" t="s">
        <v>122</v>
      </c>
      <c r="F146" s="119" t="s">
        <v>23</v>
      </c>
      <c r="G146" s="153">
        <v>12</v>
      </c>
      <c r="H146" s="154">
        <v>3.04</v>
      </c>
      <c r="I146" s="153">
        <f t="shared" si="35"/>
        <v>3.9161280000000001</v>
      </c>
      <c r="J146" s="213">
        <f t="shared" si="36"/>
        <v>46.99</v>
      </c>
      <c r="L146" s="20">
        <v>2.85</v>
      </c>
    </row>
    <row r="147" spans="1:12" s="20" customFormat="1" ht="20.100000000000001" customHeight="1" outlineLevel="1">
      <c r="A147" s="21"/>
      <c r="B147" s="129" t="s">
        <v>115</v>
      </c>
      <c r="C147" s="129">
        <v>89497</v>
      </c>
      <c r="D147" s="119" t="s">
        <v>209</v>
      </c>
      <c r="E147" s="118" t="s">
        <v>123</v>
      </c>
      <c r="F147" s="119" t="s">
        <v>23</v>
      </c>
      <c r="G147" s="153">
        <v>6</v>
      </c>
      <c r="H147" s="154">
        <v>7.64</v>
      </c>
      <c r="I147" s="153">
        <f t="shared" si="35"/>
        <v>9.8418479999999988</v>
      </c>
      <c r="J147" s="213">
        <f t="shared" si="36"/>
        <v>59.05</v>
      </c>
      <c r="L147" s="20">
        <v>6.66</v>
      </c>
    </row>
    <row r="148" spans="1:12" s="20" customFormat="1" ht="20.100000000000001" customHeight="1" outlineLevel="1">
      <c r="A148" s="21"/>
      <c r="B148" s="129" t="s">
        <v>116</v>
      </c>
      <c r="C148" s="135">
        <v>89617</v>
      </c>
      <c r="D148" s="135" t="s">
        <v>209</v>
      </c>
      <c r="E148" s="170" t="s">
        <v>139</v>
      </c>
      <c r="F148" s="135" t="s">
        <v>23</v>
      </c>
      <c r="G148" s="154">
        <v>6</v>
      </c>
      <c r="H148" s="154">
        <v>4.3899999999999997</v>
      </c>
      <c r="I148" s="153">
        <f t="shared" si="35"/>
        <v>5.6551979999999995</v>
      </c>
      <c r="J148" s="213">
        <f t="shared" si="36"/>
        <v>33.93</v>
      </c>
      <c r="L148" s="20">
        <v>4.09</v>
      </c>
    </row>
    <row r="149" spans="1:12" s="20" customFormat="1" ht="20.100000000000001" customHeight="1" outlineLevel="1">
      <c r="A149" s="21"/>
      <c r="B149" s="129" t="s">
        <v>117</v>
      </c>
      <c r="C149" s="135">
        <v>89623</v>
      </c>
      <c r="D149" s="135" t="s">
        <v>209</v>
      </c>
      <c r="E149" s="170" t="s">
        <v>140</v>
      </c>
      <c r="F149" s="135" t="s">
        <v>23</v>
      </c>
      <c r="G149" s="154">
        <v>1</v>
      </c>
      <c r="H149" s="154">
        <v>11.94</v>
      </c>
      <c r="I149" s="153">
        <f t="shared" si="35"/>
        <v>15.381107999999999</v>
      </c>
      <c r="J149" s="213">
        <f t="shared" si="36"/>
        <v>15.38</v>
      </c>
      <c r="L149" s="20">
        <v>10.17</v>
      </c>
    </row>
    <row r="150" spans="1:12" s="20" customFormat="1" ht="20.100000000000001" customHeight="1" outlineLevel="1">
      <c r="A150" s="21"/>
      <c r="B150" s="129" t="s">
        <v>118</v>
      </c>
      <c r="C150" s="135">
        <v>89485</v>
      </c>
      <c r="D150" s="135" t="s">
        <v>209</v>
      </c>
      <c r="E150" s="170" t="s">
        <v>259</v>
      </c>
      <c r="F150" s="135" t="s">
        <v>23</v>
      </c>
      <c r="G150" s="154">
        <v>6</v>
      </c>
      <c r="H150" s="154">
        <v>3.59</v>
      </c>
      <c r="I150" s="153">
        <f t="shared" si="35"/>
        <v>4.624638</v>
      </c>
      <c r="J150" s="213">
        <f t="shared" si="36"/>
        <v>27.74</v>
      </c>
      <c r="L150" s="20">
        <v>3.21</v>
      </c>
    </row>
    <row r="151" spans="1:12" s="20" customFormat="1" ht="20.100000000000001" customHeight="1" outlineLevel="1">
      <c r="A151" s="21"/>
      <c r="B151" s="129" t="s">
        <v>119</v>
      </c>
      <c r="C151" s="135">
        <v>90373</v>
      </c>
      <c r="D151" s="135" t="s">
        <v>209</v>
      </c>
      <c r="E151" s="170" t="s">
        <v>254</v>
      </c>
      <c r="F151" s="135" t="s">
        <v>23</v>
      </c>
      <c r="G151" s="154">
        <v>6</v>
      </c>
      <c r="H151" s="154">
        <v>9.7100000000000009</v>
      </c>
      <c r="I151" s="153">
        <f t="shared" si="35"/>
        <v>12.508422000000001</v>
      </c>
      <c r="J151" s="213">
        <f t="shared" si="36"/>
        <v>75.05</v>
      </c>
      <c r="L151" s="20">
        <v>8.65</v>
      </c>
    </row>
    <row r="152" spans="1:12" s="20" customFormat="1" ht="20.100000000000001" customHeight="1" outlineLevel="1">
      <c r="A152" s="21"/>
      <c r="B152" s="171" t="s">
        <v>3</v>
      </c>
      <c r="C152" s="169"/>
      <c r="D152" s="172"/>
      <c r="E152" s="174" t="s">
        <v>146</v>
      </c>
      <c r="F152" s="138"/>
      <c r="G152" s="154"/>
      <c r="H152" s="154"/>
      <c r="I152" s="153">
        <f t="shared" si="35"/>
        <v>0</v>
      </c>
      <c r="J152" s="154"/>
    </row>
    <row r="153" spans="1:12" s="20" customFormat="1" ht="20.100000000000001" customHeight="1" outlineLevel="1">
      <c r="A153" s="21"/>
      <c r="B153" s="169" t="s">
        <v>96</v>
      </c>
      <c r="C153" s="173">
        <v>89353</v>
      </c>
      <c r="D153" s="135" t="s">
        <v>209</v>
      </c>
      <c r="E153" s="170" t="s">
        <v>255</v>
      </c>
      <c r="F153" s="135" t="s">
        <v>23</v>
      </c>
      <c r="G153" s="154">
        <v>6</v>
      </c>
      <c r="H153" s="154">
        <v>26.18</v>
      </c>
      <c r="I153" s="153">
        <f t="shared" si="35"/>
        <v>33.725076000000001</v>
      </c>
      <c r="J153" s="213">
        <f t="shared" ref="J153:J162" si="37">TRUNC(I153*G153,2)</f>
        <v>202.35</v>
      </c>
      <c r="L153" s="20">
        <v>21.7</v>
      </c>
    </row>
    <row r="154" spans="1:12" s="20" customFormat="1" ht="20.100000000000001" customHeight="1" outlineLevel="1">
      <c r="A154" s="21"/>
      <c r="B154" s="169" t="s">
        <v>97</v>
      </c>
      <c r="C154" s="173">
        <v>89353</v>
      </c>
      <c r="D154" s="135" t="s">
        <v>209</v>
      </c>
      <c r="E154" s="170" t="s">
        <v>256</v>
      </c>
      <c r="F154" s="135" t="s">
        <v>23</v>
      </c>
      <c r="G154" s="154">
        <v>6</v>
      </c>
      <c r="H154" s="154">
        <v>26.18</v>
      </c>
      <c r="I154" s="153">
        <f t="shared" si="35"/>
        <v>33.725076000000001</v>
      </c>
      <c r="J154" s="213">
        <f t="shared" si="37"/>
        <v>202.35</v>
      </c>
      <c r="L154" s="20">
        <v>21.7</v>
      </c>
    </row>
    <row r="155" spans="1:12" s="20" customFormat="1" ht="20.100000000000001" customHeight="1" outlineLevel="1">
      <c r="A155" s="21"/>
      <c r="B155" s="169" t="s">
        <v>98</v>
      </c>
      <c r="C155" s="135">
        <v>94797</v>
      </c>
      <c r="D155" s="135" t="s">
        <v>209</v>
      </c>
      <c r="E155" s="170" t="s">
        <v>143</v>
      </c>
      <c r="F155" s="135" t="s">
        <v>23</v>
      </c>
      <c r="G155" s="154">
        <v>1</v>
      </c>
      <c r="H155" s="154">
        <v>41.53</v>
      </c>
      <c r="I155" s="153">
        <f t="shared" si="35"/>
        <v>53.498946000000004</v>
      </c>
      <c r="J155" s="213">
        <f t="shared" si="37"/>
        <v>53.49</v>
      </c>
      <c r="L155" s="20">
        <v>34.299999999999997</v>
      </c>
    </row>
    <row r="156" spans="1:12" s="20" customFormat="1" ht="20.100000000000001" customHeight="1" outlineLevel="1">
      <c r="A156" s="21"/>
      <c r="B156" s="169" t="s">
        <v>99</v>
      </c>
      <c r="C156" s="135">
        <v>94703</v>
      </c>
      <c r="D156" s="135" t="s">
        <v>209</v>
      </c>
      <c r="E156" s="170" t="s">
        <v>257</v>
      </c>
      <c r="F156" s="135" t="s">
        <v>23</v>
      </c>
      <c r="G156" s="154">
        <v>12</v>
      </c>
      <c r="H156" s="154">
        <v>13.34</v>
      </c>
      <c r="I156" s="153">
        <f t="shared" si="35"/>
        <v>17.184588000000002</v>
      </c>
      <c r="J156" s="213">
        <f t="shared" si="37"/>
        <v>206.21</v>
      </c>
      <c r="L156" s="20">
        <v>16.46</v>
      </c>
    </row>
    <row r="157" spans="1:12" s="20" customFormat="1" ht="20.100000000000001" customHeight="1" outlineLevel="1">
      <c r="A157" s="21"/>
      <c r="B157" s="169" t="s">
        <v>279</v>
      </c>
      <c r="C157" s="135">
        <v>94703</v>
      </c>
      <c r="D157" s="135" t="s">
        <v>209</v>
      </c>
      <c r="E157" s="170" t="s">
        <v>258</v>
      </c>
      <c r="F157" s="135" t="s">
        <v>23</v>
      </c>
      <c r="G157" s="154">
        <v>12</v>
      </c>
      <c r="H157" s="154">
        <v>13.34</v>
      </c>
      <c r="I157" s="153">
        <f t="shared" si="35"/>
        <v>17.184588000000002</v>
      </c>
      <c r="J157" s="213">
        <f t="shared" si="37"/>
        <v>206.21</v>
      </c>
      <c r="L157" s="20">
        <v>16.46</v>
      </c>
    </row>
    <row r="158" spans="1:12" s="20" customFormat="1" ht="19.5" customHeight="1" outlineLevel="1">
      <c r="A158" s="21"/>
      <c r="B158" s="169" t="s">
        <v>280</v>
      </c>
      <c r="C158" s="135">
        <v>37106</v>
      </c>
      <c r="D158" s="135" t="s">
        <v>209</v>
      </c>
      <c r="E158" s="137" t="s">
        <v>243</v>
      </c>
      <c r="F158" s="135" t="s">
        <v>23</v>
      </c>
      <c r="G158" s="154">
        <v>1</v>
      </c>
      <c r="H158" s="154">
        <v>3100.06</v>
      </c>
      <c r="I158" s="153">
        <f t="shared" si="35"/>
        <v>3993.497292</v>
      </c>
      <c r="J158" s="213">
        <f t="shared" si="37"/>
        <v>3993.49</v>
      </c>
      <c r="L158" s="20">
        <v>404.5</v>
      </c>
    </row>
    <row r="159" spans="1:12" s="20" customFormat="1" ht="19.5" customHeight="1" outlineLevel="1">
      <c r="A159" s="21"/>
      <c r="B159" s="169" t="s">
        <v>281</v>
      </c>
      <c r="C159" s="135">
        <v>122</v>
      </c>
      <c r="D159" s="135" t="s">
        <v>209</v>
      </c>
      <c r="E159" s="137" t="s">
        <v>260</v>
      </c>
      <c r="F159" s="135" t="s">
        <v>23</v>
      </c>
      <c r="G159" s="154">
        <v>1</v>
      </c>
      <c r="H159" s="154">
        <v>49.68</v>
      </c>
      <c r="I159" s="153">
        <f t="shared" si="35"/>
        <v>63.997776000000002</v>
      </c>
      <c r="J159" s="213">
        <f t="shared" si="37"/>
        <v>63.99</v>
      </c>
      <c r="L159" s="20">
        <v>45.16</v>
      </c>
    </row>
    <row r="160" spans="1:12" s="20" customFormat="1" ht="19.5" customHeight="1" outlineLevel="1">
      <c r="A160" s="21"/>
      <c r="B160" s="169" t="s">
        <v>282</v>
      </c>
      <c r="C160" s="135">
        <v>20083</v>
      </c>
      <c r="D160" s="135" t="s">
        <v>209</v>
      </c>
      <c r="E160" s="137" t="s">
        <v>261</v>
      </c>
      <c r="F160" s="135" t="s">
        <v>23</v>
      </c>
      <c r="G160" s="154">
        <v>1</v>
      </c>
      <c r="H160" s="154">
        <v>43.14</v>
      </c>
      <c r="I160" s="153">
        <f t="shared" si="35"/>
        <v>55.572948000000004</v>
      </c>
      <c r="J160" s="213">
        <f t="shared" si="37"/>
        <v>55.57</v>
      </c>
      <c r="L160" s="20">
        <v>39.22</v>
      </c>
    </row>
    <row r="161" spans="1:12" s="20" customFormat="1" ht="19.5" customHeight="1" outlineLevel="1">
      <c r="A161" s="21"/>
      <c r="B161" s="169" t="s">
        <v>283</v>
      </c>
      <c r="C161" s="135">
        <v>38383</v>
      </c>
      <c r="D161" s="135" t="s">
        <v>209</v>
      </c>
      <c r="E161" s="137" t="s">
        <v>262</v>
      </c>
      <c r="F161" s="135" t="s">
        <v>23</v>
      </c>
      <c r="G161" s="154">
        <v>1</v>
      </c>
      <c r="H161" s="154">
        <v>1.95</v>
      </c>
      <c r="I161" s="153">
        <f t="shared" si="35"/>
        <v>2.5119899999999999</v>
      </c>
      <c r="J161" s="213">
        <f t="shared" si="37"/>
        <v>2.5099999999999998</v>
      </c>
      <c r="L161" s="20">
        <v>1.77</v>
      </c>
    </row>
    <row r="162" spans="1:12" s="20" customFormat="1" ht="19.5" customHeight="1" outlineLevel="1">
      <c r="A162" s="21"/>
      <c r="B162" s="169" t="s">
        <v>284</v>
      </c>
      <c r="C162" s="135">
        <v>3148</v>
      </c>
      <c r="D162" s="135" t="s">
        <v>209</v>
      </c>
      <c r="E162" s="137" t="s">
        <v>263</v>
      </c>
      <c r="F162" s="135" t="s">
        <v>23</v>
      </c>
      <c r="G162" s="154">
        <v>1</v>
      </c>
      <c r="H162" s="154">
        <v>12.9</v>
      </c>
      <c r="I162" s="153">
        <f t="shared" si="35"/>
        <v>16.61778</v>
      </c>
      <c r="J162" s="213">
        <f t="shared" si="37"/>
        <v>16.61</v>
      </c>
      <c r="L162" s="20">
        <v>10.29</v>
      </c>
    </row>
    <row r="163" spans="1:12" s="20" customFormat="1" ht="20.100000000000001" customHeight="1" outlineLevel="1">
      <c r="A163" s="21"/>
      <c r="B163" s="174"/>
      <c r="C163" s="174"/>
      <c r="D163" s="174"/>
      <c r="E163" s="174"/>
      <c r="F163" s="174"/>
      <c r="G163" s="175"/>
      <c r="H163" s="143" t="s">
        <v>61</v>
      </c>
      <c r="I163" s="153"/>
      <c r="J163" s="176">
        <f>SUM(J142:J162)</f>
        <v>5958.3099999999986</v>
      </c>
      <c r="L163" s="20" t="s">
        <v>61</v>
      </c>
    </row>
    <row r="164" spans="1:12" s="20" customFormat="1" ht="20.100000000000001" customHeight="1">
      <c r="A164" s="21"/>
      <c r="B164" s="21"/>
      <c r="C164" s="21"/>
      <c r="D164" s="21"/>
      <c r="E164" s="3"/>
      <c r="F164" s="21"/>
      <c r="G164" s="15"/>
      <c r="H164" s="160"/>
      <c r="I164" s="21"/>
      <c r="J164" s="157"/>
    </row>
    <row r="165" spans="1:12" s="20" customFormat="1" ht="20.100000000000001" customHeight="1">
      <c r="A165" s="21"/>
      <c r="B165" s="125">
        <v>13</v>
      </c>
      <c r="C165" s="125"/>
      <c r="D165" s="125"/>
      <c r="E165" s="187" t="s">
        <v>164</v>
      </c>
      <c r="F165" s="120"/>
      <c r="G165" s="151"/>
      <c r="H165" s="161"/>
      <c r="I165" s="125"/>
      <c r="J165" s="152">
        <f>J183</f>
        <v>15128.019999999999</v>
      </c>
    </row>
    <row r="166" spans="1:12" s="20" customFormat="1" ht="20.100000000000001" customHeight="1" outlineLevel="1">
      <c r="A166" s="21"/>
      <c r="B166" s="13" t="s">
        <v>10</v>
      </c>
      <c r="C166" s="13"/>
      <c r="D166" s="13"/>
      <c r="E166" s="10" t="s">
        <v>185</v>
      </c>
      <c r="F166" s="128"/>
      <c r="G166" s="153"/>
      <c r="H166" s="154"/>
      <c r="I166" s="153">
        <f t="shared" si="28"/>
        <v>0</v>
      </c>
      <c r="J166" s="153"/>
    </row>
    <row r="167" spans="1:12" s="20" customFormat="1" ht="20.100000000000001" customHeight="1" outlineLevel="1">
      <c r="A167" s="21"/>
      <c r="B167" s="135" t="s">
        <v>100</v>
      </c>
      <c r="C167" s="169">
        <v>89711</v>
      </c>
      <c r="D167" s="169" t="s">
        <v>209</v>
      </c>
      <c r="E167" s="170" t="s">
        <v>125</v>
      </c>
      <c r="F167" s="135" t="s">
        <v>32</v>
      </c>
      <c r="G167" s="154">
        <f>6*6</f>
        <v>36</v>
      </c>
      <c r="H167" s="154">
        <v>12.69</v>
      </c>
      <c r="I167" s="153">
        <f t="shared" ref="I167:I182" si="38">H167*1.2882</f>
        <v>16.347258</v>
      </c>
      <c r="J167" s="213">
        <f t="shared" ref="J167:J178" si="39">TRUNC(I167*G167,2)</f>
        <v>588.5</v>
      </c>
      <c r="L167" s="20">
        <v>11.87</v>
      </c>
    </row>
    <row r="168" spans="1:12" s="20" customFormat="1" ht="20.100000000000001" customHeight="1" outlineLevel="1">
      <c r="A168" s="21"/>
      <c r="B168" s="135" t="s">
        <v>101</v>
      </c>
      <c r="C168" s="169">
        <v>89712</v>
      </c>
      <c r="D168" s="169" t="s">
        <v>209</v>
      </c>
      <c r="E168" s="170" t="s">
        <v>126</v>
      </c>
      <c r="F168" s="135" t="s">
        <v>32</v>
      </c>
      <c r="G168" s="154">
        <f>6*6</f>
        <v>36</v>
      </c>
      <c r="H168" s="154">
        <v>18.7</v>
      </c>
      <c r="I168" s="153">
        <f t="shared" si="38"/>
        <v>24.08934</v>
      </c>
      <c r="J168" s="213">
        <f t="shared" si="39"/>
        <v>867.21</v>
      </c>
      <c r="L168" s="20">
        <v>17.5</v>
      </c>
    </row>
    <row r="169" spans="1:12" s="20" customFormat="1" ht="20.100000000000001" customHeight="1" outlineLevel="1">
      <c r="A169" s="21"/>
      <c r="B169" s="135" t="s">
        <v>102</v>
      </c>
      <c r="C169" s="169">
        <v>89714</v>
      </c>
      <c r="D169" s="169" t="s">
        <v>209</v>
      </c>
      <c r="E169" s="170" t="s">
        <v>124</v>
      </c>
      <c r="F169" s="135" t="s">
        <v>32</v>
      </c>
      <c r="G169" s="154">
        <f>6*18</f>
        <v>108</v>
      </c>
      <c r="H169" s="154">
        <v>36.74</v>
      </c>
      <c r="I169" s="153">
        <f t="shared" si="38"/>
        <v>47.328468000000001</v>
      </c>
      <c r="J169" s="213">
        <f t="shared" si="39"/>
        <v>5111.47</v>
      </c>
      <c r="L169" s="20">
        <v>33.76</v>
      </c>
    </row>
    <row r="170" spans="1:12" s="20" customFormat="1" ht="20.100000000000001" customHeight="1" outlineLevel="1">
      <c r="A170" s="21"/>
      <c r="B170" s="135" t="s">
        <v>103</v>
      </c>
      <c r="C170" s="135">
        <v>89726</v>
      </c>
      <c r="D170" s="135" t="s">
        <v>209</v>
      </c>
      <c r="E170" s="170" t="s">
        <v>127</v>
      </c>
      <c r="F170" s="135" t="s">
        <v>23</v>
      </c>
      <c r="G170" s="154">
        <v>12</v>
      </c>
      <c r="H170" s="154">
        <v>4.84</v>
      </c>
      <c r="I170" s="153">
        <f t="shared" si="38"/>
        <v>6.2348879999999998</v>
      </c>
      <c r="J170" s="213">
        <f t="shared" si="39"/>
        <v>74.81</v>
      </c>
      <c r="L170" s="20">
        <v>5.49</v>
      </c>
    </row>
    <row r="171" spans="1:12" s="20" customFormat="1" ht="20.100000000000001" customHeight="1" outlineLevel="1">
      <c r="A171" s="21"/>
      <c r="B171" s="135" t="s">
        <v>104</v>
      </c>
      <c r="C171" s="135">
        <v>89746</v>
      </c>
      <c r="D171" s="135" t="s">
        <v>209</v>
      </c>
      <c r="E171" s="170" t="s">
        <v>144</v>
      </c>
      <c r="F171" s="135" t="s">
        <v>23</v>
      </c>
      <c r="G171" s="154">
        <v>12</v>
      </c>
      <c r="H171" s="154">
        <v>16.399999999999999</v>
      </c>
      <c r="I171" s="153">
        <f t="shared" si="38"/>
        <v>21.126479999999997</v>
      </c>
      <c r="J171" s="213">
        <f t="shared" si="39"/>
        <v>253.51</v>
      </c>
      <c r="L171" s="20">
        <v>14.78</v>
      </c>
    </row>
    <row r="172" spans="1:12" s="20" customFormat="1" ht="20.100000000000001" customHeight="1" outlineLevel="1">
      <c r="A172" s="21"/>
      <c r="B172" s="135" t="s">
        <v>105</v>
      </c>
      <c r="C172" s="135">
        <v>89724</v>
      </c>
      <c r="D172" s="135" t="s">
        <v>209</v>
      </c>
      <c r="E172" s="170" t="s">
        <v>128</v>
      </c>
      <c r="F172" s="135" t="s">
        <v>23</v>
      </c>
      <c r="G172" s="154">
        <v>12</v>
      </c>
      <c r="H172" s="154">
        <v>6.45</v>
      </c>
      <c r="I172" s="153">
        <f t="shared" si="38"/>
        <v>8.3088899999999999</v>
      </c>
      <c r="J172" s="213">
        <f t="shared" si="39"/>
        <v>99.7</v>
      </c>
      <c r="L172" s="20">
        <v>4.8899999999999997</v>
      </c>
    </row>
    <row r="173" spans="1:12" s="20" customFormat="1" ht="20.100000000000001" customHeight="1" outlineLevel="1">
      <c r="A173" s="21"/>
      <c r="B173" s="135" t="s">
        <v>187</v>
      </c>
      <c r="C173" s="135">
        <v>89732</v>
      </c>
      <c r="D173" s="135" t="s">
        <v>209</v>
      </c>
      <c r="E173" s="170" t="s">
        <v>252</v>
      </c>
      <c r="F173" s="135" t="s">
        <v>23</v>
      </c>
      <c r="G173" s="154">
        <v>12</v>
      </c>
      <c r="H173" s="154">
        <v>7.87</v>
      </c>
      <c r="I173" s="153">
        <f t="shared" si="38"/>
        <v>10.138134000000001</v>
      </c>
      <c r="J173" s="213">
        <f t="shared" si="39"/>
        <v>121.65</v>
      </c>
      <c r="L173" s="20">
        <v>7.03</v>
      </c>
    </row>
    <row r="174" spans="1:12" s="20" customFormat="1" ht="20.100000000000001" customHeight="1" outlineLevel="1">
      <c r="A174" s="21"/>
      <c r="B174" s="135" t="s">
        <v>188</v>
      </c>
      <c r="C174" s="135">
        <v>89733</v>
      </c>
      <c r="D174" s="135" t="s">
        <v>209</v>
      </c>
      <c r="E174" s="170" t="s">
        <v>251</v>
      </c>
      <c r="F174" s="135" t="s">
        <v>23</v>
      </c>
      <c r="G174" s="154">
        <v>12</v>
      </c>
      <c r="H174" s="154">
        <v>11.96</v>
      </c>
      <c r="I174" s="153">
        <f t="shared" si="38"/>
        <v>15.406872000000002</v>
      </c>
      <c r="J174" s="213">
        <f t="shared" si="39"/>
        <v>184.88</v>
      </c>
      <c r="L174" s="20">
        <v>11.4</v>
      </c>
    </row>
    <row r="175" spans="1:12" s="20" customFormat="1" ht="20.100000000000001" customHeight="1" outlineLevel="1">
      <c r="A175" s="21"/>
      <c r="B175" s="135" t="s">
        <v>189</v>
      </c>
      <c r="C175" s="135">
        <v>89744</v>
      </c>
      <c r="D175" s="135" t="s">
        <v>209</v>
      </c>
      <c r="E175" s="170" t="s">
        <v>248</v>
      </c>
      <c r="F175" s="135" t="s">
        <v>23</v>
      </c>
      <c r="G175" s="154">
        <v>12</v>
      </c>
      <c r="H175" s="154">
        <v>16.43</v>
      </c>
      <c r="I175" s="153">
        <f t="shared" si="38"/>
        <v>21.165126000000001</v>
      </c>
      <c r="J175" s="213">
        <f t="shared" si="39"/>
        <v>253.98</v>
      </c>
      <c r="L175" s="20">
        <v>14.72</v>
      </c>
    </row>
    <row r="176" spans="1:12" s="20" customFormat="1" ht="20.100000000000001" customHeight="1" outlineLevel="1">
      <c r="A176" s="21"/>
      <c r="B176" s="135" t="s">
        <v>190</v>
      </c>
      <c r="C176" s="135">
        <v>89690</v>
      </c>
      <c r="D176" s="135" t="s">
        <v>209</v>
      </c>
      <c r="E176" s="170" t="s">
        <v>249</v>
      </c>
      <c r="F176" s="135" t="s">
        <v>23</v>
      </c>
      <c r="G176" s="154">
        <v>12</v>
      </c>
      <c r="H176" s="154">
        <v>47.5</v>
      </c>
      <c r="I176" s="153">
        <f t="shared" si="38"/>
        <v>61.189500000000002</v>
      </c>
      <c r="J176" s="213">
        <f t="shared" si="39"/>
        <v>734.27</v>
      </c>
      <c r="L176" s="20">
        <v>55.37</v>
      </c>
    </row>
    <row r="177" spans="1:12" s="20" customFormat="1" ht="20.100000000000001" customHeight="1" outlineLevel="1">
      <c r="A177" s="21"/>
      <c r="B177" s="135" t="s">
        <v>277</v>
      </c>
      <c r="C177" s="135">
        <v>89830</v>
      </c>
      <c r="D177" s="135" t="s">
        <v>209</v>
      </c>
      <c r="E177" s="170" t="s">
        <v>250</v>
      </c>
      <c r="F177" s="135" t="s">
        <v>23</v>
      </c>
      <c r="G177" s="154">
        <v>12</v>
      </c>
      <c r="H177" s="154">
        <v>19.239999999999998</v>
      </c>
      <c r="I177" s="153">
        <f t="shared" si="38"/>
        <v>24.784967999999999</v>
      </c>
      <c r="J177" s="213">
        <f t="shared" si="39"/>
        <v>297.41000000000003</v>
      </c>
      <c r="L177" s="20">
        <v>16.11</v>
      </c>
    </row>
    <row r="178" spans="1:12" s="20" customFormat="1" ht="20.100000000000001" customHeight="1" outlineLevel="1">
      <c r="A178" s="21"/>
      <c r="B178" s="135" t="s">
        <v>278</v>
      </c>
      <c r="C178" s="135">
        <v>40347</v>
      </c>
      <c r="D178" s="135" t="s">
        <v>209</v>
      </c>
      <c r="E178" s="170" t="s">
        <v>253</v>
      </c>
      <c r="F178" s="135" t="s">
        <v>23</v>
      </c>
      <c r="G178" s="154">
        <f>G186</f>
        <v>10</v>
      </c>
      <c r="H178" s="154">
        <v>217.17</v>
      </c>
      <c r="I178" s="153">
        <f t="shared" si="38"/>
        <v>279.75839400000001</v>
      </c>
      <c r="J178" s="213">
        <f t="shared" si="39"/>
        <v>2797.58</v>
      </c>
      <c r="L178" s="20">
        <v>138.54</v>
      </c>
    </row>
    <row r="179" spans="1:12" s="20" customFormat="1" ht="20.100000000000001" customHeight="1" outlineLevel="1">
      <c r="A179" s="21"/>
      <c r="B179" s="171" t="s">
        <v>4</v>
      </c>
      <c r="C179" s="135"/>
      <c r="D179" s="135"/>
      <c r="E179" s="174" t="s">
        <v>186</v>
      </c>
      <c r="F179" s="135"/>
      <c r="G179" s="154"/>
      <c r="H179" s="154"/>
      <c r="I179" s="153">
        <f t="shared" si="38"/>
        <v>0</v>
      </c>
      <c r="J179" s="154"/>
    </row>
    <row r="180" spans="1:12" s="20" customFormat="1" ht="20.100000000000001" customHeight="1" outlineLevel="1">
      <c r="A180" s="21"/>
      <c r="B180" s="135" t="s">
        <v>106</v>
      </c>
      <c r="C180" s="169">
        <v>89707</v>
      </c>
      <c r="D180" s="169" t="s">
        <v>209</v>
      </c>
      <c r="E180" s="170" t="s">
        <v>172</v>
      </c>
      <c r="F180" s="135" t="s">
        <v>23</v>
      </c>
      <c r="G180" s="154">
        <v>11</v>
      </c>
      <c r="H180" s="154">
        <v>22.28</v>
      </c>
      <c r="I180" s="153">
        <f t="shared" si="38"/>
        <v>28.701096000000003</v>
      </c>
      <c r="J180" s="213">
        <f t="shared" ref="J180:J182" si="40">TRUNC(I180*G180,2)</f>
        <v>315.70999999999998</v>
      </c>
      <c r="L180" s="20">
        <v>20.03</v>
      </c>
    </row>
    <row r="181" spans="1:12" s="20" customFormat="1" ht="19.5" customHeight="1" outlineLevel="1">
      <c r="A181" s="21"/>
      <c r="B181" s="135" t="s">
        <v>107</v>
      </c>
      <c r="C181" s="135" t="s">
        <v>361</v>
      </c>
      <c r="D181" s="169" t="s">
        <v>209</v>
      </c>
      <c r="E181" s="170" t="s">
        <v>183</v>
      </c>
      <c r="F181" s="135" t="s">
        <v>23</v>
      </c>
      <c r="G181" s="154">
        <v>11</v>
      </c>
      <c r="H181" s="154">
        <v>233.73</v>
      </c>
      <c r="I181" s="153">
        <f t="shared" si="38"/>
        <v>301.09098599999999</v>
      </c>
      <c r="J181" s="213">
        <f t="shared" si="40"/>
        <v>3312</v>
      </c>
      <c r="L181" s="20">
        <v>346.67</v>
      </c>
    </row>
    <row r="182" spans="1:12" s="20" customFormat="1" ht="20.100000000000001" customHeight="1" outlineLevel="1">
      <c r="A182" s="21"/>
      <c r="B182" s="135" t="s">
        <v>108</v>
      </c>
      <c r="C182" s="135">
        <v>89710</v>
      </c>
      <c r="D182" s="169" t="s">
        <v>209</v>
      </c>
      <c r="E182" s="137" t="s">
        <v>184</v>
      </c>
      <c r="F182" s="135" t="s">
        <v>23</v>
      </c>
      <c r="G182" s="154">
        <v>11</v>
      </c>
      <c r="H182" s="154">
        <v>8.14</v>
      </c>
      <c r="I182" s="153">
        <f t="shared" si="38"/>
        <v>10.485948</v>
      </c>
      <c r="J182" s="213">
        <f t="shared" si="40"/>
        <v>115.34</v>
      </c>
      <c r="L182" s="20">
        <v>7.43</v>
      </c>
    </row>
    <row r="183" spans="1:12" s="20" customFormat="1" ht="20.100000000000001" customHeight="1" outlineLevel="1">
      <c r="A183" s="21"/>
      <c r="B183" s="174"/>
      <c r="C183" s="174"/>
      <c r="D183" s="174"/>
      <c r="E183" s="174"/>
      <c r="F183" s="174"/>
      <c r="G183" s="175"/>
      <c r="H183" s="143" t="s">
        <v>61</v>
      </c>
      <c r="I183" s="153"/>
      <c r="J183" s="176">
        <f>SUM(J167:J182)</f>
        <v>15128.019999999999</v>
      </c>
      <c r="L183" s="20" t="s">
        <v>61</v>
      </c>
    </row>
    <row r="184" spans="1:12" s="20" customFormat="1" ht="20.100000000000001" customHeight="1">
      <c r="A184" s="21"/>
      <c r="B184" s="21"/>
      <c r="C184" s="21"/>
      <c r="D184" s="21"/>
      <c r="E184" s="3"/>
      <c r="F184" s="21"/>
      <c r="G184" s="15"/>
      <c r="H184" s="160"/>
      <c r="I184" s="21"/>
      <c r="J184" s="157"/>
    </row>
    <row r="185" spans="1:12" s="20" customFormat="1" ht="20.100000000000001" customHeight="1">
      <c r="A185" s="21"/>
      <c r="B185" s="125">
        <v>14</v>
      </c>
      <c r="C185" s="125"/>
      <c r="D185" s="125"/>
      <c r="E185" s="187" t="s">
        <v>160</v>
      </c>
      <c r="F185" s="120"/>
      <c r="G185" s="151"/>
      <c r="H185" s="161"/>
      <c r="I185" s="125"/>
      <c r="J185" s="152">
        <f>J193</f>
        <v>17039.109999999997</v>
      </c>
    </row>
    <row r="186" spans="1:12" s="20" customFormat="1" ht="19.5" customHeight="1" outlineLevel="1">
      <c r="A186" s="21"/>
      <c r="B186" s="119" t="s">
        <v>5</v>
      </c>
      <c r="C186" s="112">
        <v>86888</v>
      </c>
      <c r="D186" s="45" t="s">
        <v>209</v>
      </c>
      <c r="E186" s="118" t="s">
        <v>177</v>
      </c>
      <c r="F186" s="119" t="s">
        <v>23</v>
      </c>
      <c r="G186" s="153">
        <v>10</v>
      </c>
      <c r="H186" s="154">
        <v>340.45</v>
      </c>
      <c r="I186" s="153">
        <f t="shared" ref="I186:I192" si="41">H186*1.2882</f>
        <v>438.56768999999997</v>
      </c>
      <c r="J186" s="213">
        <f t="shared" ref="J186:J192" si="42">TRUNC(I186*G186,2)</f>
        <v>4385.67</v>
      </c>
      <c r="L186" s="20">
        <v>337.19</v>
      </c>
    </row>
    <row r="187" spans="1:12" ht="19.5" customHeight="1" outlineLevel="1">
      <c r="A187" s="21"/>
      <c r="B187" s="119" t="s">
        <v>74</v>
      </c>
      <c r="C187" s="119">
        <v>86936</v>
      </c>
      <c r="D187" s="119" t="s">
        <v>209</v>
      </c>
      <c r="E187" s="118" t="s">
        <v>176</v>
      </c>
      <c r="F187" s="119" t="s">
        <v>23</v>
      </c>
      <c r="G187" s="153">
        <v>17</v>
      </c>
      <c r="H187" s="154">
        <v>324.62</v>
      </c>
      <c r="I187" s="153">
        <f t="shared" si="41"/>
        <v>418.17548399999998</v>
      </c>
      <c r="J187" s="213">
        <f t="shared" si="42"/>
        <v>7108.98</v>
      </c>
      <c r="L187" s="130">
        <v>400.5</v>
      </c>
    </row>
    <row r="188" spans="1:12" ht="19.5" customHeight="1" outlineLevel="1">
      <c r="A188" s="21"/>
      <c r="B188" s="119" t="s">
        <v>75</v>
      </c>
      <c r="C188" s="119">
        <v>86942</v>
      </c>
      <c r="D188" s="119" t="s">
        <v>209</v>
      </c>
      <c r="E188" s="118" t="s">
        <v>178</v>
      </c>
      <c r="F188" s="119" t="s">
        <v>23</v>
      </c>
      <c r="G188" s="153">
        <v>17</v>
      </c>
      <c r="H188" s="154">
        <v>169.65</v>
      </c>
      <c r="I188" s="153">
        <f t="shared" si="41"/>
        <v>218.54313000000002</v>
      </c>
      <c r="J188" s="213">
        <f t="shared" si="42"/>
        <v>3715.23</v>
      </c>
      <c r="L188" s="130">
        <v>157.88999999999999</v>
      </c>
    </row>
    <row r="189" spans="1:12" ht="20.100000000000001" customHeight="1" outlineLevel="1">
      <c r="A189" s="21"/>
      <c r="B189" s="119" t="s">
        <v>62</v>
      </c>
      <c r="C189" s="129">
        <v>86909</v>
      </c>
      <c r="D189" s="119" t="s">
        <v>209</v>
      </c>
      <c r="E189" s="118" t="s">
        <v>179</v>
      </c>
      <c r="F189" s="119" t="s">
        <v>23</v>
      </c>
      <c r="G189" s="153">
        <v>2</v>
      </c>
      <c r="H189" s="154">
        <v>84.3</v>
      </c>
      <c r="I189" s="153">
        <f t="shared" si="41"/>
        <v>108.59526</v>
      </c>
      <c r="J189" s="213">
        <f t="shared" si="42"/>
        <v>217.19</v>
      </c>
      <c r="L189" s="130">
        <v>72</v>
      </c>
    </row>
    <row r="190" spans="1:12" ht="20.100000000000001" customHeight="1" outlineLevel="1">
      <c r="A190" s="21"/>
      <c r="B190" s="119" t="s">
        <v>63</v>
      </c>
      <c r="C190" s="119">
        <v>86906</v>
      </c>
      <c r="D190" s="119" t="s">
        <v>209</v>
      </c>
      <c r="E190" s="118" t="s">
        <v>180</v>
      </c>
      <c r="F190" s="119" t="s">
        <v>23</v>
      </c>
      <c r="G190" s="153">
        <v>17</v>
      </c>
      <c r="H190" s="154">
        <v>42.2</v>
      </c>
      <c r="I190" s="153">
        <f t="shared" si="41"/>
        <v>54.362040000000007</v>
      </c>
      <c r="J190" s="213">
        <f t="shared" si="42"/>
        <v>924.15</v>
      </c>
      <c r="L190" s="130">
        <v>36.07</v>
      </c>
    </row>
    <row r="191" spans="1:12" s="20" customFormat="1" ht="19.5" customHeight="1" outlineLevel="1">
      <c r="A191" s="21"/>
      <c r="B191" s="119" t="s">
        <v>64</v>
      </c>
      <c r="C191" s="119">
        <v>11703</v>
      </c>
      <c r="D191" s="119" t="s">
        <v>209</v>
      </c>
      <c r="E191" s="118" t="s">
        <v>181</v>
      </c>
      <c r="F191" s="119" t="s">
        <v>23</v>
      </c>
      <c r="G191" s="153">
        <v>10</v>
      </c>
      <c r="H191" s="154">
        <v>27.69</v>
      </c>
      <c r="I191" s="153">
        <f t="shared" si="41"/>
        <v>35.670258000000004</v>
      </c>
      <c r="J191" s="213">
        <f t="shared" si="42"/>
        <v>356.7</v>
      </c>
      <c r="L191" s="20">
        <v>39</v>
      </c>
    </row>
    <row r="192" spans="1:12" s="49" customFormat="1" ht="20.100000000000001" customHeight="1" outlineLevel="1">
      <c r="B192" s="119" t="s">
        <v>65</v>
      </c>
      <c r="C192" s="48">
        <v>377</v>
      </c>
      <c r="D192" s="119" t="s">
        <v>209</v>
      </c>
      <c r="E192" s="118" t="s">
        <v>182</v>
      </c>
      <c r="F192" s="141" t="s">
        <v>23</v>
      </c>
      <c r="G192" s="153">
        <v>10</v>
      </c>
      <c r="H192" s="154">
        <v>25.71</v>
      </c>
      <c r="I192" s="153">
        <f t="shared" si="41"/>
        <v>33.119622</v>
      </c>
      <c r="J192" s="213">
        <f t="shared" si="42"/>
        <v>331.19</v>
      </c>
      <c r="L192" s="49">
        <v>22</v>
      </c>
    </row>
    <row r="193" spans="1:12" ht="20.100000000000001" customHeight="1" outlineLevel="1">
      <c r="A193" s="21"/>
      <c r="B193" s="127"/>
      <c r="C193" s="127"/>
      <c r="D193" s="127"/>
      <c r="E193" s="127"/>
      <c r="F193" s="127"/>
      <c r="G193" s="11"/>
      <c r="H193" s="143" t="s">
        <v>61</v>
      </c>
      <c r="I193" s="153"/>
      <c r="J193" s="155">
        <f>SUM(J186:J192)</f>
        <v>17039.109999999997</v>
      </c>
      <c r="L193" s="130" t="s">
        <v>61</v>
      </c>
    </row>
    <row r="194" spans="1:12" ht="20.100000000000001" customHeight="1">
      <c r="A194" s="21"/>
      <c r="B194" s="21"/>
      <c r="C194" s="21"/>
      <c r="D194" s="21"/>
      <c r="E194" s="3"/>
      <c r="F194" s="21"/>
      <c r="G194" s="15"/>
      <c r="H194" s="160"/>
      <c r="I194" s="21"/>
      <c r="J194" s="157"/>
    </row>
    <row r="195" spans="1:12" s="20" customFormat="1" ht="20.100000000000001" customHeight="1">
      <c r="A195" s="21"/>
      <c r="B195" s="125">
        <v>15</v>
      </c>
      <c r="C195" s="125"/>
      <c r="D195" s="125"/>
      <c r="E195" s="187" t="s">
        <v>60</v>
      </c>
      <c r="F195" s="120"/>
      <c r="G195" s="151"/>
      <c r="H195" s="161"/>
      <c r="I195" s="125"/>
      <c r="J195" s="152">
        <f>J201</f>
        <v>5650.78</v>
      </c>
    </row>
    <row r="196" spans="1:12" ht="20.100000000000001" customHeight="1" outlineLevel="1">
      <c r="A196" s="21"/>
      <c r="B196" s="119" t="s">
        <v>13</v>
      </c>
      <c r="C196" s="119">
        <v>72553</v>
      </c>
      <c r="D196" s="129" t="s">
        <v>209</v>
      </c>
      <c r="E196" s="115" t="s">
        <v>191</v>
      </c>
      <c r="F196" s="119" t="s">
        <v>23</v>
      </c>
      <c r="G196" s="153">
        <v>3</v>
      </c>
      <c r="H196" s="154">
        <v>151.47999999999999</v>
      </c>
      <c r="I196" s="153">
        <f t="shared" ref="I196:I200" si="43">H196*1.2882</f>
        <v>195.13653599999998</v>
      </c>
      <c r="J196" s="213">
        <f t="shared" ref="J196:J200" si="44">TRUNC(I196*G196,2)</f>
        <v>585.4</v>
      </c>
      <c r="L196" s="130">
        <v>135.63999999999999</v>
      </c>
    </row>
    <row r="197" spans="1:12" ht="20.100000000000001" customHeight="1" outlineLevel="1">
      <c r="A197" s="21"/>
      <c r="B197" s="119" t="s">
        <v>14</v>
      </c>
      <c r="C197" s="119">
        <v>72554</v>
      </c>
      <c r="D197" s="129" t="s">
        <v>209</v>
      </c>
      <c r="E197" s="115" t="s">
        <v>192</v>
      </c>
      <c r="F197" s="119" t="s">
        <v>23</v>
      </c>
      <c r="G197" s="153">
        <v>3</v>
      </c>
      <c r="H197" s="154">
        <v>512.25</v>
      </c>
      <c r="I197" s="153">
        <f t="shared" si="43"/>
        <v>659.88045</v>
      </c>
      <c r="J197" s="213">
        <f t="shared" si="44"/>
        <v>1979.64</v>
      </c>
      <c r="L197" s="130">
        <v>458.18</v>
      </c>
    </row>
    <row r="198" spans="1:12" s="20" customFormat="1" ht="20.100000000000001" customHeight="1" outlineLevel="1">
      <c r="A198" s="21"/>
      <c r="B198" s="119" t="s">
        <v>15</v>
      </c>
      <c r="C198" s="119">
        <v>38774</v>
      </c>
      <c r="D198" s="129" t="s">
        <v>209</v>
      </c>
      <c r="E198" s="115" t="s">
        <v>171</v>
      </c>
      <c r="F198" s="119" t="s">
        <v>23</v>
      </c>
      <c r="G198" s="153">
        <v>20</v>
      </c>
      <c r="H198" s="154">
        <v>32.19</v>
      </c>
      <c r="I198" s="153">
        <f t="shared" si="43"/>
        <v>41.467157999999998</v>
      </c>
      <c r="J198" s="213">
        <f t="shared" si="44"/>
        <v>829.34</v>
      </c>
      <c r="L198" s="20">
        <v>32.29</v>
      </c>
    </row>
    <row r="199" spans="1:12" s="20" customFormat="1" ht="25.5" outlineLevel="1">
      <c r="A199" s="21"/>
      <c r="B199" s="119" t="s">
        <v>244</v>
      </c>
      <c r="C199" s="119">
        <v>10851</v>
      </c>
      <c r="D199" s="129" t="s">
        <v>209</v>
      </c>
      <c r="E199" s="115" t="s">
        <v>246</v>
      </c>
      <c r="F199" s="119" t="s">
        <v>23</v>
      </c>
      <c r="G199" s="153">
        <f>G198</f>
        <v>20</v>
      </c>
      <c r="H199" s="154">
        <v>43.79</v>
      </c>
      <c r="I199" s="153">
        <f t="shared" si="43"/>
        <v>56.410277999999998</v>
      </c>
      <c r="J199" s="213">
        <f t="shared" si="44"/>
        <v>1128.2</v>
      </c>
      <c r="L199" s="20">
        <v>54.99</v>
      </c>
    </row>
    <row r="200" spans="1:12" s="20" customFormat="1" ht="25.5" outlineLevel="1">
      <c r="A200" s="21"/>
      <c r="B200" s="119" t="s">
        <v>245</v>
      </c>
      <c r="C200" s="119">
        <v>10851</v>
      </c>
      <c r="D200" s="129" t="s">
        <v>209</v>
      </c>
      <c r="E200" s="115" t="s">
        <v>247</v>
      </c>
      <c r="F200" s="119" t="s">
        <v>23</v>
      </c>
      <c r="G200" s="153">
        <f>G198</f>
        <v>20</v>
      </c>
      <c r="H200" s="154">
        <v>43.79</v>
      </c>
      <c r="I200" s="153">
        <f t="shared" si="43"/>
        <v>56.410277999999998</v>
      </c>
      <c r="J200" s="213">
        <f t="shared" si="44"/>
        <v>1128.2</v>
      </c>
      <c r="L200" s="20">
        <v>54.99</v>
      </c>
    </row>
    <row r="201" spans="1:12" s="20" customFormat="1" ht="20.100000000000001" customHeight="1" outlineLevel="1">
      <c r="A201" s="21"/>
      <c r="B201" s="127"/>
      <c r="C201" s="127"/>
      <c r="D201" s="127"/>
      <c r="E201" s="127"/>
      <c r="F201" s="127"/>
      <c r="G201" s="11"/>
      <c r="H201" s="143" t="s">
        <v>61</v>
      </c>
      <c r="I201" s="153"/>
      <c r="J201" s="155">
        <f>SUM(J196:J200)</f>
        <v>5650.78</v>
      </c>
      <c r="L201" s="20" t="s">
        <v>61</v>
      </c>
    </row>
    <row r="202" spans="1:12" s="20" customFormat="1" ht="20.100000000000001" customHeight="1">
      <c r="A202" s="21"/>
      <c r="B202" s="21"/>
      <c r="C202" s="21"/>
      <c r="D202" s="21"/>
      <c r="E202" s="3"/>
      <c r="F202" s="21"/>
      <c r="G202" s="15"/>
      <c r="H202" s="160"/>
      <c r="I202" s="21"/>
      <c r="J202" s="157"/>
    </row>
    <row r="203" spans="1:12" s="20" customFormat="1" ht="20.100000000000001" customHeight="1">
      <c r="A203" s="21"/>
      <c r="B203" s="125">
        <v>16</v>
      </c>
      <c r="C203" s="125"/>
      <c r="D203" s="125"/>
      <c r="E203" s="187" t="s">
        <v>204</v>
      </c>
      <c r="F203" s="120"/>
      <c r="G203" s="151"/>
      <c r="H203" s="161"/>
      <c r="I203" s="125"/>
      <c r="J203" s="152">
        <f>J228</f>
        <v>30592.809999999998</v>
      </c>
    </row>
    <row r="204" spans="1:12" s="20" customFormat="1" ht="20.100000000000001" customHeight="1" outlineLevel="1">
      <c r="A204" s="21"/>
      <c r="B204" s="19" t="s">
        <v>66</v>
      </c>
      <c r="C204" s="19"/>
      <c r="D204" s="19"/>
      <c r="E204" s="10" t="s">
        <v>11</v>
      </c>
      <c r="F204" s="128"/>
      <c r="G204" s="153"/>
      <c r="H204" s="154"/>
      <c r="I204" s="153">
        <f t="shared" ref="I204" si="45">H204*1.315</f>
        <v>0</v>
      </c>
      <c r="J204" s="153"/>
    </row>
    <row r="205" spans="1:12" s="20" customFormat="1" ht="19.5" customHeight="1" outlineLevel="1">
      <c r="A205" s="21"/>
      <c r="B205" s="178" t="s">
        <v>217</v>
      </c>
      <c r="C205" s="179" t="s">
        <v>292</v>
      </c>
      <c r="D205" s="178" t="s">
        <v>209</v>
      </c>
      <c r="E205" s="133" t="s">
        <v>264</v>
      </c>
      <c r="F205" s="135" t="s">
        <v>23</v>
      </c>
      <c r="G205" s="154">
        <v>2</v>
      </c>
      <c r="H205" s="154">
        <v>548.22</v>
      </c>
      <c r="I205" s="153">
        <f t="shared" ref="I205:I227" si="46">H205*1.2882</f>
        <v>706.21700400000009</v>
      </c>
      <c r="J205" s="213">
        <f t="shared" ref="J205:J209" si="47">TRUNC(I205*G205,2)</f>
        <v>1412.43</v>
      </c>
      <c r="L205" s="20">
        <v>405.83</v>
      </c>
    </row>
    <row r="206" spans="1:12" s="20" customFormat="1" ht="20.100000000000001" customHeight="1" outlineLevel="1">
      <c r="A206" s="21"/>
      <c r="B206" s="178" t="s">
        <v>218</v>
      </c>
      <c r="C206" s="132" t="s">
        <v>362</v>
      </c>
      <c r="D206" s="178" t="s">
        <v>209</v>
      </c>
      <c r="E206" s="137" t="s">
        <v>169</v>
      </c>
      <c r="F206" s="169" t="s">
        <v>23</v>
      </c>
      <c r="G206" s="154">
        <v>10</v>
      </c>
      <c r="H206" s="154">
        <v>13.17</v>
      </c>
      <c r="I206" s="153">
        <f t="shared" si="46"/>
        <v>16.965593999999999</v>
      </c>
      <c r="J206" s="213">
        <f t="shared" si="47"/>
        <v>169.65</v>
      </c>
      <c r="L206" s="20">
        <v>12.29</v>
      </c>
    </row>
    <row r="207" spans="1:12" s="20" customFormat="1" ht="20.100000000000001" customHeight="1" outlineLevel="1">
      <c r="A207" s="21"/>
      <c r="B207" s="178" t="s">
        <v>219</v>
      </c>
      <c r="C207" s="132" t="s">
        <v>362</v>
      </c>
      <c r="D207" s="178" t="s">
        <v>209</v>
      </c>
      <c r="E207" s="133" t="s">
        <v>142</v>
      </c>
      <c r="F207" s="169" t="s">
        <v>23</v>
      </c>
      <c r="G207" s="154">
        <v>8</v>
      </c>
      <c r="H207" s="154">
        <v>13.17</v>
      </c>
      <c r="I207" s="153">
        <f t="shared" si="46"/>
        <v>16.965593999999999</v>
      </c>
      <c r="J207" s="213">
        <f t="shared" si="47"/>
        <v>135.72</v>
      </c>
      <c r="L207" s="20">
        <v>12.29</v>
      </c>
    </row>
    <row r="208" spans="1:12" s="20" customFormat="1" ht="20.100000000000001" customHeight="1" outlineLevel="1">
      <c r="A208" s="21"/>
      <c r="B208" s="178" t="s">
        <v>220</v>
      </c>
      <c r="C208" s="132" t="s">
        <v>293</v>
      </c>
      <c r="D208" s="178" t="s">
        <v>209</v>
      </c>
      <c r="E208" s="133" t="s">
        <v>265</v>
      </c>
      <c r="F208" s="169" t="s">
        <v>23</v>
      </c>
      <c r="G208" s="154">
        <v>6</v>
      </c>
      <c r="H208" s="154">
        <v>61.22</v>
      </c>
      <c r="I208" s="153">
        <f t="shared" si="46"/>
        <v>78.863603999999995</v>
      </c>
      <c r="J208" s="213">
        <f t="shared" si="47"/>
        <v>473.18</v>
      </c>
      <c r="L208" s="20">
        <v>57.7</v>
      </c>
    </row>
    <row r="209" spans="1:12" s="20" customFormat="1" ht="20.100000000000001" customHeight="1" outlineLevel="1">
      <c r="A209" s="21"/>
      <c r="B209" s="178" t="s">
        <v>221</v>
      </c>
      <c r="C209" s="132" t="s">
        <v>293</v>
      </c>
      <c r="D209" s="178" t="s">
        <v>209</v>
      </c>
      <c r="E209" s="133" t="s">
        <v>205</v>
      </c>
      <c r="F209" s="169" t="s">
        <v>23</v>
      </c>
      <c r="G209" s="154">
        <v>4</v>
      </c>
      <c r="H209" s="154">
        <v>61.22</v>
      </c>
      <c r="I209" s="153">
        <f t="shared" si="46"/>
        <v>78.863603999999995</v>
      </c>
      <c r="J209" s="213">
        <f t="shared" si="47"/>
        <v>315.45</v>
      </c>
      <c r="L209" s="20">
        <v>57.7</v>
      </c>
    </row>
    <row r="210" spans="1:12" s="20" customFormat="1" ht="20.100000000000001" customHeight="1" outlineLevel="1">
      <c r="A210" s="21"/>
      <c r="B210" s="177" t="s">
        <v>67</v>
      </c>
      <c r="C210" s="175"/>
      <c r="D210" s="175"/>
      <c r="E210" s="174" t="s">
        <v>12</v>
      </c>
      <c r="F210" s="180"/>
      <c r="G210" s="154"/>
      <c r="H210" s="154"/>
      <c r="I210" s="153">
        <f t="shared" si="46"/>
        <v>0</v>
      </c>
      <c r="J210" s="154"/>
    </row>
    <row r="211" spans="1:12" s="20" customFormat="1" ht="19.5" customHeight="1" outlineLevel="1">
      <c r="A211" s="21"/>
      <c r="B211" s="178" t="s">
        <v>222</v>
      </c>
      <c r="C211" s="132">
        <v>91854</v>
      </c>
      <c r="D211" s="178" t="s">
        <v>209</v>
      </c>
      <c r="E211" s="137" t="s">
        <v>170</v>
      </c>
      <c r="F211" s="178" t="s">
        <v>32</v>
      </c>
      <c r="G211" s="154">
        <f>(G215+G217+G219+G221)/2</f>
        <v>744</v>
      </c>
      <c r="H211" s="154">
        <v>6.21</v>
      </c>
      <c r="I211" s="153">
        <f t="shared" si="46"/>
        <v>7.9997220000000002</v>
      </c>
      <c r="J211" s="213">
        <f t="shared" ref="J211:J213" si="48">TRUNC(I211*G211,2)</f>
        <v>5951.79</v>
      </c>
      <c r="L211" s="20">
        <v>5.56</v>
      </c>
    </row>
    <row r="212" spans="1:12" s="20" customFormat="1" ht="20.100000000000001" customHeight="1" outlineLevel="1">
      <c r="A212" s="21"/>
      <c r="B212" s="178" t="s">
        <v>223</v>
      </c>
      <c r="C212" s="132">
        <v>91946</v>
      </c>
      <c r="D212" s="178" t="s">
        <v>209</v>
      </c>
      <c r="E212" s="137" t="s">
        <v>274</v>
      </c>
      <c r="F212" s="169" t="s">
        <v>23</v>
      </c>
      <c r="G212" s="154">
        <f>G224+G225+G226</f>
        <v>116</v>
      </c>
      <c r="H212" s="154">
        <v>5.87</v>
      </c>
      <c r="I212" s="153">
        <f t="shared" si="46"/>
        <v>7.5617340000000004</v>
      </c>
      <c r="J212" s="213">
        <f t="shared" si="48"/>
        <v>877.16</v>
      </c>
      <c r="L212" s="20">
        <v>6.58</v>
      </c>
    </row>
    <row r="213" spans="1:12" s="20" customFormat="1" ht="20.100000000000001" customHeight="1" outlineLevel="1">
      <c r="A213" s="21"/>
      <c r="B213" s="178" t="s">
        <v>224</v>
      </c>
      <c r="C213" s="132">
        <v>20111</v>
      </c>
      <c r="D213" s="178" t="s">
        <v>209</v>
      </c>
      <c r="E213" s="137" t="s">
        <v>276</v>
      </c>
      <c r="F213" s="169" t="s">
        <v>23</v>
      </c>
      <c r="G213" s="154">
        <v>15</v>
      </c>
      <c r="H213" s="154">
        <v>6.31</v>
      </c>
      <c r="I213" s="153">
        <f t="shared" si="46"/>
        <v>8.1285419999999995</v>
      </c>
      <c r="J213" s="213">
        <f t="shared" si="48"/>
        <v>121.92</v>
      </c>
      <c r="L213" s="20">
        <v>5.18</v>
      </c>
    </row>
    <row r="214" spans="1:12" s="20" customFormat="1" ht="20.100000000000001" customHeight="1" outlineLevel="1">
      <c r="A214" s="21"/>
      <c r="B214" s="177" t="s">
        <v>68</v>
      </c>
      <c r="C214" s="175"/>
      <c r="D214" s="175"/>
      <c r="E214" s="174" t="s">
        <v>147</v>
      </c>
      <c r="F214" s="170"/>
      <c r="G214" s="154"/>
      <c r="H214" s="154"/>
      <c r="I214" s="153">
        <f t="shared" si="46"/>
        <v>0</v>
      </c>
      <c r="J214" s="154"/>
    </row>
    <row r="215" spans="1:12" s="20" customFormat="1" ht="20.100000000000001" customHeight="1" outlineLevel="1">
      <c r="A215" s="21"/>
      <c r="B215" s="178" t="s">
        <v>225</v>
      </c>
      <c r="C215" s="178">
        <v>91926</v>
      </c>
      <c r="D215" s="178" t="s">
        <v>209</v>
      </c>
      <c r="E215" s="137" t="s">
        <v>267</v>
      </c>
      <c r="F215" s="178" t="s">
        <v>32</v>
      </c>
      <c r="G215" s="154">
        <f>(G224+G225)*8</f>
        <v>608</v>
      </c>
      <c r="H215" s="154">
        <v>2.23</v>
      </c>
      <c r="I215" s="153">
        <f t="shared" si="46"/>
        <v>2.8726859999999999</v>
      </c>
      <c r="J215" s="213">
        <f t="shared" ref="J215:J222" si="49">TRUNC(I215*G215,2)</f>
        <v>1746.59</v>
      </c>
      <c r="L215" s="20">
        <v>1.95</v>
      </c>
    </row>
    <row r="216" spans="1:12" ht="19.5" customHeight="1" outlineLevel="1">
      <c r="A216" s="21"/>
      <c r="B216" s="178" t="s">
        <v>226</v>
      </c>
      <c r="C216" s="178">
        <v>91926</v>
      </c>
      <c r="D216" s="178" t="s">
        <v>209</v>
      </c>
      <c r="E216" s="137" t="s">
        <v>266</v>
      </c>
      <c r="F216" s="178" t="s">
        <v>32</v>
      </c>
      <c r="G216" s="154">
        <f>G215</f>
        <v>608</v>
      </c>
      <c r="H216" s="154">
        <v>2.23</v>
      </c>
      <c r="I216" s="153">
        <f t="shared" si="46"/>
        <v>2.8726859999999999</v>
      </c>
      <c r="J216" s="213">
        <f t="shared" si="49"/>
        <v>1746.59</v>
      </c>
      <c r="L216" s="130">
        <v>1.95</v>
      </c>
    </row>
    <row r="217" spans="1:12" ht="19.5" customHeight="1" outlineLevel="1">
      <c r="A217" s="21"/>
      <c r="B217" s="178" t="s">
        <v>285</v>
      </c>
      <c r="C217" s="132">
        <v>91932</v>
      </c>
      <c r="D217" s="178" t="s">
        <v>209</v>
      </c>
      <c r="E217" s="137" t="s">
        <v>269</v>
      </c>
      <c r="F217" s="178" t="s">
        <v>32</v>
      </c>
      <c r="G217" s="154">
        <v>100</v>
      </c>
      <c r="H217" s="154">
        <v>7.86</v>
      </c>
      <c r="I217" s="153">
        <f t="shared" si="46"/>
        <v>10.125252</v>
      </c>
      <c r="J217" s="213">
        <f t="shared" si="49"/>
        <v>1012.52</v>
      </c>
      <c r="L217" s="130">
        <v>6.84</v>
      </c>
    </row>
    <row r="218" spans="1:12" ht="19.5" customHeight="1" outlineLevel="1">
      <c r="A218" s="21"/>
      <c r="B218" s="178" t="s">
        <v>286</v>
      </c>
      <c r="C218" s="132">
        <v>91932</v>
      </c>
      <c r="D218" s="178" t="s">
        <v>209</v>
      </c>
      <c r="E218" s="137" t="s">
        <v>268</v>
      </c>
      <c r="F218" s="178" t="s">
        <v>32</v>
      </c>
      <c r="G218" s="154">
        <v>100</v>
      </c>
      <c r="H218" s="154">
        <v>7.86</v>
      </c>
      <c r="I218" s="153">
        <f t="shared" si="46"/>
        <v>10.125252</v>
      </c>
      <c r="J218" s="213">
        <f t="shared" si="49"/>
        <v>1012.52</v>
      </c>
      <c r="L218" s="130">
        <v>6.84</v>
      </c>
    </row>
    <row r="219" spans="1:12" ht="19.5" customHeight="1" outlineLevel="1">
      <c r="A219" s="21"/>
      <c r="B219" s="178" t="s">
        <v>287</v>
      </c>
      <c r="C219" s="132">
        <v>91924</v>
      </c>
      <c r="D219" s="178" t="s">
        <v>209</v>
      </c>
      <c r="E219" s="137" t="s">
        <v>270</v>
      </c>
      <c r="F219" s="178" t="s">
        <v>32</v>
      </c>
      <c r="G219" s="154">
        <f>G226*12</f>
        <v>480</v>
      </c>
      <c r="H219" s="154">
        <v>1.57</v>
      </c>
      <c r="I219" s="153">
        <f t="shared" si="46"/>
        <v>2.0224739999999999</v>
      </c>
      <c r="J219" s="213">
        <f t="shared" si="49"/>
        <v>970.78</v>
      </c>
      <c r="L219" s="130">
        <v>1.34</v>
      </c>
    </row>
    <row r="220" spans="1:12" ht="19.5" customHeight="1" outlineLevel="1">
      <c r="A220" s="21"/>
      <c r="B220" s="178" t="s">
        <v>288</v>
      </c>
      <c r="C220" s="132">
        <v>91924</v>
      </c>
      <c r="D220" s="178" t="s">
        <v>209</v>
      </c>
      <c r="E220" s="137" t="s">
        <v>271</v>
      </c>
      <c r="F220" s="178" t="s">
        <v>32</v>
      </c>
      <c r="G220" s="154">
        <f>G219</f>
        <v>480</v>
      </c>
      <c r="H220" s="154">
        <v>1.57</v>
      </c>
      <c r="I220" s="153">
        <f t="shared" si="46"/>
        <v>2.0224739999999999</v>
      </c>
      <c r="J220" s="213">
        <f t="shared" si="49"/>
        <v>970.78</v>
      </c>
      <c r="L220" s="130">
        <v>1.34</v>
      </c>
    </row>
    <row r="221" spans="1:12" ht="19.5" customHeight="1" outlineLevel="1">
      <c r="A221" s="21"/>
      <c r="B221" s="178" t="s">
        <v>289</v>
      </c>
      <c r="C221" s="132">
        <v>91930</v>
      </c>
      <c r="D221" s="178" t="s">
        <v>209</v>
      </c>
      <c r="E221" s="137" t="s">
        <v>272</v>
      </c>
      <c r="F221" s="178" t="s">
        <v>32</v>
      </c>
      <c r="G221" s="154">
        <v>300</v>
      </c>
      <c r="H221" s="154">
        <v>4.84</v>
      </c>
      <c r="I221" s="153">
        <f t="shared" si="46"/>
        <v>6.2348879999999998</v>
      </c>
      <c r="J221" s="213">
        <f t="shared" si="49"/>
        <v>1870.46</v>
      </c>
      <c r="L221" s="130">
        <v>4.2</v>
      </c>
    </row>
    <row r="222" spans="1:12" ht="19.5" customHeight="1" outlineLevel="1">
      <c r="A222" s="21"/>
      <c r="B222" s="178" t="s">
        <v>290</v>
      </c>
      <c r="C222" s="132">
        <v>91930</v>
      </c>
      <c r="D222" s="178" t="s">
        <v>209</v>
      </c>
      <c r="E222" s="137" t="s">
        <v>273</v>
      </c>
      <c r="F222" s="178" t="s">
        <v>32</v>
      </c>
      <c r="G222" s="154">
        <v>300</v>
      </c>
      <c r="H222" s="154">
        <v>4.84</v>
      </c>
      <c r="I222" s="153">
        <f t="shared" si="46"/>
        <v>6.2348879999999998</v>
      </c>
      <c r="J222" s="213">
        <f t="shared" si="49"/>
        <v>1870.46</v>
      </c>
      <c r="L222" s="130">
        <v>4.2</v>
      </c>
    </row>
    <row r="223" spans="1:12" ht="20.100000000000001" customHeight="1" outlineLevel="1">
      <c r="A223" s="21"/>
      <c r="B223" s="19" t="s">
        <v>69</v>
      </c>
      <c r="C223" s="11"/>
      <c r="D223" s="11"/>
      <c r="E223" s="127" t="s">
        <v>158</v>
      </c>
      <c r="F223" s="118"/>
      <c r="G223" s="153"/>
      <c r="H223" s="154"/>
      <c r="I223" s="153">
        <f t="shared" si="46"/>
        <v>0</v>
      </c>
      <c r="J223" s="153"/>
    </row>
    <row r="224" spans="1:12" ht="20.100000000000001" customHeight="1" outlineLevel="1">
      <c r="A224" s="21"/>
      <c r="B224" s="132" t="s">
        <v>227</v>
      </c>
      <c r="C224" s="132">
        <v>92000</v>
      </c>
      <c r="D224" s="178" t="s">
        <v>209</v>
      </c>
      <c r="E224" s="137" t="s">
        <v>193</v>
      </c>
      <c r="F224" s="169" t="s">
        <v>23</v>
      </c>
      <c r="G224" s="154">
        <v>50</v>
      </c>
      <c r="H224" s="154">
        <v>19.940000000000001</v>
      </c>
      <c r="I224" s="153">
        <f t="shared" si="46"/>
        <v>25.686708000000003</v>
      </c>
      <c r="J224" s="213">
        <f t="shared" ref="J224:J227" si="50">TRUNC(I224*G224,2)</f>
        <v>1284.33</v>
      </c>
      <c r="L224" s="130">
        <v>21.57</v>
      </c>
    </row>
    <row r="225" spans="1:12" ht="20.100000000000001" customHeight="1" outlineLevel="1">
      <c r="A225" s="21"/>
      <c r="B225" s="132" t="s">
        <v>228</v>
      </c>
      <c r="C225" s="132">
        <v>91953</v>
      </c>
      <c r="D225" s="178" t="s">
        <v>209</v>
      </c>
      <c r="E225" s="137" t="s">
        <v>194</v>
      </c>
      <c r="F225" s="169" t="s">
        <v>23</v>
      </c>
      <c r="G225" s="154">
        <v>26</v>
      </c>
      <c r="H225" s="154">
        <v>18.829999999999998</v>
      </c>
      <c r="I225" s="153">
        <f t="shared" si="46"/>
        <v>24.256805999999997</v>
      </c>
      <c r="J225" s="213">
        <f t="shared" si="50"/>
        <v>630.66999999999996</v>
      </c>
      <c r="L225" s="130">
        <v>20.3</v>
      </c>
    </row>
    <row r="226" spans="1:12" ht="25.5" outlineLevel="1">
      <c r="A226" s="21"/>
      <c r="B226" s="132" t="s">
        <v>291</v>
      </c>
      <c r="C226" s="132">
        <v>97586</v>
      </c>
      <c r="D226" s="178" t="s">
        <v>209</v>
      </c>
      <c r="E226" s="137" t="s">
        <v>363</v>
      </c>
      <c r="F226" s="169" t="s">
        <v>23</v>
      </c>
      <c r="G226" s="154">
        <v>40</v>
      </c>
      <c r="H226" s="154">
        <v>78.040000000000006</v>
      </c>
      <c r="I226" s="153">
        <f t="shared" si="46"/>
        <v>100.53112800000001</v>
      </c>
      <c r="J226" s="213">
        <f t="shared" si="50"/>
        <v>4021.24</v>
      </c>
      <c r="L226" s="130">
        <v>90.46</v>
      </c>
    </row>
    <row r="227" spans="1:12" ht="20.100000000000001" customHeight="1" outlineLevel="1">
      <c r="A227" s="21"/>
      <c r="B227" s="132" t="s">
        <v>229</v>
      </c>
      <c r="C227" s="132">
        <v>3398</v>
      </c>
      <c r="D227" s="178" t="s">
        <v>209</v>
      </c>
      <c r="E227" s="137" t="s">
        <v>275</v>
      </c>
      <c r="F227" s="169" t="s">
        <v>23</v>
      </c>
      <c r="G227" s="154">
        <v>800</v>
      </c>
      <c r="H227" s="154">
        <v>3.88</v>
      </c>
      <c r="I227" s="153">
        <f t="shared" si="46"/>
        <v>4.9982160000000002</v>
      </c>
      <c r="J227" s="213">
        <f t="shared" si="50"/>
        <v>3998.57</v>
      </c>
      <c r="L227" s="130">
        <v>4.12</v>
      </c>
    </row>
    <row r="228" spans="1:12" ht="20.100000000000001" customHeight="1" outlineLevel="1">
      <c r="A228" s="21"/>
      <c r="B228" s="127"/>
      <c r="C228" s="127"/>
      <c r="D228" s="127"/>
      <c r="E228" s="127"/>
      <c r="F228" s="127"/>
      <c r="G228" s="11"/>
      <c r="H228" s="143" t="s">
        <v>61</v>
      </c>
      <c r="I228" s="153"/>
      <c r="J228" s="155">
        <f>SUM(J204:J227)</f>
        <v>30592.809999999998</v>
      </c>
      <c r="L228" s="130" t="s">
        <v>61</v>
      </c>
    </row>
    <row r="229" spans="1:12" ht="20.100000000000001" customHeight="1">
      <c r="A229" s="21"/>
      <c r="B229" s="21"/>
      <c r="C229" s="21"/>
      <c r="D229" s="21"/>
      <c r="E229" s="3"/>
      <c r="F229" s="21"/>
      <c r="G229" s="15"/>
      <c r="H229" s="160"/>
      <c r="I229" s="21"/>
      <c r="J229" s="157"/>
    </row>
    <row r="230" spans="1:12" s="7" customFormat="1" ht="20.100000000000001" customHeight="1">
      <c r="A230" s="21"/>
      <c r="B230" s="125">
        <v>17</v>
      </c>
      <c r="C230" s="125"/>
      <c r="D230" s="125"/>
      <c r="E230" s="187" t="s">
        <v>7</v>
      </c>
      <c r="F230" s="120"/>
      <c r="G230" s="151"/>
      <c r="H230" s="161"/>
      <c r="I230" s="125"/>
      <c r="J230" s="152">
        <f>J232</f>
        <v>1122.3900000000001</v>
      </c>
    </row>
    <row r="231" spans="1:12" s="7" customFormat="1" ht="20.100000000000001" customHeight="1" outlineLevel="1">
      <c r="A231" s="21"/>
      <c r="B231" s="116" t="s">
        <v>6</v>
      </c>
      <c r="C231" s="113">
        <v>99803</v>
      </c>
      <c r="D231" s="116" t="s">
        <v>209</v>
      </c>
      <c r="E231" s="114" t="s">
        <v>207</v>
      </c>
      <c r="F231" s="116" t="s">
        <v>28</v>
      </c>
      <c r="G231" s="153">
        <f>G75</f>
        <v>635.98</v>
      </c>
      <c r="H231" s="154">
        <v>1.37</v>
      </c>
      <c r="I231" s="153">
        <f>H231*1.2882</f>
        <v>1.7648340000000002</v>
      </c>
      <c r="J231" s="213">
        <f t="shared" ref="J231" si="51">TRUNC(I231*G231,2)</f>
        <v>1122.3900000000001</v>
      </c>
      <c r="L231" s="7">
        <v>2.0499999999999998</v>
      </c>
    </row>
    <row r="232" spans="1:12" ht="20.100000000000001" customHeight="1" outlineLevel="1">
      <c r="A232" s="21"/>
      <c r="B232" s="127"/>
      <c r="C232" s="127"/>
      <c r="D232" s="127"/>
      <c r="E232" s="127"/>
      <c r="F232" s="127"/>
      <c r="G232" s="11"/>
      <c r="H232" s="143" t="s">
        <v>61</v>
      </c>
      <c r="I232" s="11"/>
      <c r="J232" s="155">
        <f>SUM(J231:J231)</f>
        <v>1122.3900000000001</v>
      </c>
    </row>
    <row r="233" spans="1:12" ht="20.100000000000001" customHeight="1">
      <c r="A233" s="21"/>
      <c r="B233" s="21"/>
      <c r="C233" s="21"/>
      <c r="D233" s="21"/>
      <c r="E233" s="3"/>
      <c r="F233" s="21"/>
      <c r="G233" s="15"/>
      <c r="H233" s="160"/>
      <c r="I233" s="21"/>
      <c r="J233" s="157"/>
    </row>
    <row r="234" spans="1:12" ht="20.100000000000001" customHeight="1">
      <c r="A234" s="21"/>
      <c r="B234" s="35"/>
      <c r="C234" s="36"/>
      <c r="D234" s="36"/>
      <c r="E234" s="188"/>
      <c r="F234" s="36"/>
      <c r="G234" s="163"/>
      <c r="H234" s="164" t="s">
        <v>203</v>
      </c>
      <c r="I234" s="165"/>
      <c r="J234" s="152">
        <f>J230+J203+J195+J185+J165+J141+J133+J124+J116+J112+J103+J86+J80+J60+J39+J31+J22+J14</f>
        <v>917727.33999999985</v>
      </c>
      <c r="K234" s="203"/>
    </row>
    <row r="235" spans="1:12" ht="20.100000000000001" customHeight="1">
      <c r="A235" s="21"/>
      <c r="D235" s="9"/>
      <c r="E235" s="3"/>
      <c r="F235" s="21"/>
      <c r="G235" s="15"/>
      <c r="H235" s="160"/>
      <c r="J235" s="146"/>
    </row>
    <row r="236" spans="1:12" ht="20.100000000000001" customHeight="1">
      <c r="A236" s="21"/>
      <c r="D236" s="9"/>
      <c r="E236" s="3"/>
      <c r="F236" s="21"/>
      <c r="G236" s="15"/>
      <c r="H236" s="160"/>
      <c r="J236" s="146"/>
    </row>
    <row r="237" spans="1:12" ht="20.100000000000001" customHeight="1">
      <c r="A237" s="21"/>
      <c r="D237" s="9"/>
      <c r="E237" s="3"/>
      <c r="F237" s="21"/>
      <c r="G237" s="15"/>
      <c r="H237" s="160"/>
      <c r="J237" s="146"/>
    </row>
    <row r="238" spans="1:12" ht="20.100000000000001" customHeight="1">
      <c r="A238" s="21"/>
      <c r="D238" s="9"/>
      <c r="E238" s="185" t="s">
        <v>364</v>
      </c>
      <c r="F238" s="21"/>
      <c r="G238" s="15"/>
      <c r="H238" s="160"/>
      <c r="J238" s="146"/>
    </row>
    <row r="239" spans="1:12" ht="20.100000000000001" customHeight="1">
      <c r="A239" s="21"/>
      <c r="D239" s="9"/>
      <c r="E239" s="185" t="s">
        <v>365</v>
      </c>
      <c r="F239" s="21"/>
      <c r="G239" s="15"/>
      <c r="H239" s="160"/>
      <c r="J239" s="146"/>
    </row>
    <row r="240" spans="1:12">
      <c r="H240" s="166"/>
    </row>
    <row r="241" spans="1:10">
      <c r="A241" s="130"/>
      <c r="H241" s="166"/>
      <c r="J241" s="182"/>
    </row>
    <row r="242" spans="1:10">
      <c r="A242" s="130"/>
      <c r="H242" s="166"/>
    </row>
    <row r="243" spans="1:10">
      <c r="H243" s="166"/>
    </row>
    <row r="244" spans="1:10">
      <c r="H244" s="166"/>
    </row>
    <row r="245" spans="1:10" s="5" customFormat="1">
      <c r="B245" s="6"/>
      <c r="C245" s="6"/>
      <c r="D245" s="6"/>
      <c r="E245" s="184"/>
      <c r="G245" s="14"/>
      <c r="H245" s="166"/>
    </row>
    <row r="246" spans="1:10">
      <c r="H246" s="166"/>
    </row>
    <row r="247" spans="1:10">
      <c r="H247" s="166"/>
    </row>
    <row r="248" spans="1:10">
      <c r="H248" s="166"/>
    </row>
    <row r="249" spans="1:10">
      <c r="H249" s="166"/>
    </row>
    <row r="250" spans="1:10">
      <c r="H250" s="166"/>
    </row>
    <row r="251" spans="1:10">
      <c r="H251" s="166"/>
    </row>
    <row r="252" spans="1:10">
      <c r="H252" s="166"/>
    </row>
    <row r="253" spans="1:10">
      <c r="H253" s="166"/>
    </row>
    <row r="254" spans="1:10">
      <c r="H254" s="166"/>
    </row>
    <row r="255" spans="1:10">
      <c r="H255" s="166"/>
    </row>
    <row r="256" spans="1:10">
      <c r="B256" s="130"/>
      <c r="C256" s="130"/>
      <c r="D256" s="130"/>
      <c r="E256" s="189"/>
      <c r="F256" s="130"/>
      <c r="G256" s="5"/>
      <c r="H256" s="167"/>
    </row>
    <row r="257" spans="1:8" s="130" customFormat="1">
      <c r="E257" s="189"/>
      <c r="G257" s="5"/>
      <c r="H257" s="167"/>
    </row>
    <row r="258" spans="1:8" s="130" customFormat="1">
      <c r="B258" s="6"/>
      <c r="C258" s="6"/>
      <c r="D258" s="6"/>
      <c r="E258" s="184"/>
      <c r="F258" s="5"/>
      <c r="G258" s="14"/>
      <c r="H258" s="166"/>
    </row>
    <row r="259" spans="1:8" s="130" customFormat="1">
      <c r="A259" s="5"/>
      <c r="B259" s="6"/>
      <c r="C259" s="6"/>
      <c r="D259" s="6"/>
      <c r="E259" s="184"/>
      <c r="F259" s="5"/>
      <c r="G259" s="14"/>
      <c r="H259" s="166"/>
    </row>
    <row r="260" spans="1:8" s="130" customFormat="1">
      <c r="A260" s="5"/>
      <c r="B260" s="6"/>
      <c r="C260" s="6"/>
      <c r="D260" s="6"/>
      <c r="E260" s="184"/>
      <c r="F260" s="5"/>
      <c r="G260" s="14"/>
      <c r="H260" s="166"/>
    </row>
    <row r="261" spans="1:8" s="130" customFormat="1">
      <c r="A261" s="5"/>
      <c r="B261" s="6"/>
      <c r="C261" s="6"/>
      <c r="D261" s="6"/>
      <c r="E261" s="184"/>
      <c r="F261" s="5"/>
      <c r="G261" s="14"/>
      <c r="H261" s="166"/>
    </row>
    <row r="262" spans="1:8" s="130" customFormat="1">
      <c r="A262" s="5"/>
      <c r="B262" s="6"/>
      <c r="C262" s="6"/>
      <c r="D262" s="6"/>
      <c r="E262" s="184"/>
      <c r="F262" s="5"/>
      <c r="G262" s="14"/>
      <c r="H262" s="166"/>
    </row>
    <row r="278" spans="1:8" s="130" customFormat="1">
      <c r="A278" s="5"/>
      <c r="E278" s="189"/>
      <c r="G278" s="5"/>
      <c r="H278" s="5"/>
    </row>
    <row r="279" spans="1:8" s="130" customFormat="1">
      <c r="B279" s="6"/>
      <c r="C279" s="6"/>
      <c r="D279" s="6"/>
      <c r="E279" s="184"/>
      <c r="F279" s="5"/>
      <c r="G279" s="14"/>
      <c r="H279" s="14"/>
    </row>
    <row r="283" spans="1:8" s="130" customFormat="1">
      <c r="A283" s="5"/>
      <c r="E283" s="189"/>
      <c r="G283" s="5"/>
      <c r="H283" s="5"/>
    </row>
    <row r="284" spans="1:8" s="130" customFormat="1">
      <c r="B284" s="6"/>
      <c r="C284" s="6"/>
      <c r="D284" s="6"/>
      <c r="E284" s="184"/>
      <c r="F284" s="5"/>
      <c r="G284" s="14"/>
      <c r="H284" s="14"/>
    </row>
  </sheetData>
  <mergeCells count="3">
    <mergeCell ref="B1:J3"/>
    <mergeCell ref="F6:J6"/>
    <mergeCell ref="B13:J13"/>
  </mergeCells>
  <conditionalFormatting sqref="I20 G12 G230:H230">
    <cfRule type="cellIs" dxfId="4" priority="123" stopIfTrue="1" operator="equal">
      <formula>0</formula>
    </cfRule>
  </conditionalFormatting>
  <conditionalFormatting sqref="I37">
    <cfRule type="cellIs" dxfId="3" priority="122" stopIfTrue="1" operator="equal">
      <formula>0</formula>
    </cfRule>
  </conditionalFormatting>
  <conditionalFormatting sqref="I232">
    <cfRule type="cellIs" dxfId="2" priority="106" stopIfTrue="1" operator="equal">
      <formula>0</formula>
    </cfRule>
  </conditionalFormatting>
  <conditionalFormatting sqref="H12:I12">
    <cfRule type="cellIs" dxfId="1" priority="7" stopIfTrue="1" operator="equal">
      <formula>0</formula>
    </cfRule>
  </conditionalFormatting>
  <conditionalFormatting sqref="I29">
    <cfRule type="cellIs" dxfId="0" priority="1" stopIfTrue="1" operator="equal">
      <formula>0</formula>
    </cfRule>
  </conditionalFormatting>
  <printOptions horizontalCentered="1"/>
  <pageMargins left="0.19685039370078741" right="0.19685039370078741" top="0.55118110236220474" bottom="0.39370078740157483" header="0.39370078740157483" footer="0.27559055118110237"/>
  <pageSetup paperSize="9" scale="71" fitToHeight="11" orientation="landscape" horizontalDpi="4294967295" verticalDpi="4294967295" r:id="rId1"/>
  <headerFooter alignWithMargins="0">
    <oddFooter>Página &amp;P de &amp;N</oddFooter>
  </headerFooter>
  <rowBreaks count="4" manualBreakCount="4">
    <brk id="96" min="1" max="9" man="1"/>
    <brk id="118" min="1" max="9" man="1"/>
    <brk id="206" min="1" max="9" man="1"/>
    <brk id="228" min="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tabSelected="1" topLeftCell="A19" zoomScale="80" zoomScaleNormal="80" zoomScaleSheetLayoutView="70" workbookViewId="0">
      <selection activeCell="C32" sqref="C32"/>
    </sheetView>
  </sheetViews>
  <sheetFormatPr defaultRowHeight="12.75"/>
  <cols>
    <col min="1" max="1" width="9" style="31"/>
    <col min="2" max="2" width="60" style="31" customWidth="1"/>
    <col min="3" max="3" width="14" style="31" customWidth="1"/>
    <col min="4" max="4" width="9.25" style="31" bestFit="1" customWidth="1"/>
    <col min="5" max="5" width="11.25" style="31" customWidth="1"/>
    <col min="6" max="8" width="12.625" style="31" customWidth="1"/>
    <col min="9" max="9" width="10.5" style="31" customWidth="1"/>
    <col min="10" max="257" width="9" style="31"/>
    <col min="258" max="258" width="60" style="31" customWidth="1"/>
    <col min="259" max="259" width="14" style="31" customWidth="1"/>
    <col min="260" max="260" width="9.25" style="31" bestFit="1" customWidth="1"/>
    <col min="261" max="261" width="11.25" style="31" customWidth="1"/>
    <col min="262" max="264" width="12.625" style="31" customWidth="1"/>
    <col min="265" max="265" width="10.5" style="31" customWidth="1"/>
    <col min="266" max="513" width="9" style="31"/>
    <col min="514" max="514" width="60" style="31" customWidth="1"/>
    <col min="515" max="515" width="14" style="31" customWidth="1"/>
    <col min="516" max="516" width="9.25" style="31" bestFit="1" customWidth="1"/>
    <col min="517" max="517" width="11.25" style="31" customWidth="1"/>
    <col min="518" max="520" width="12.625" style="31" customWidth="1"/>
    <col min="521" max="521" width="10.5" style="31" customWidth="1"/>
    <col min="522" max="769" width="9" style="31"/>
    <col min="770" max="770" width="60" style="31" customWidth="1"/>
    <col min="771" max="771" width="14" style="31" customWidth="1"/>
    <col min="772" max="772" width="9.25" style="31" bestFit="1" customWidth="1"/>
    <col min="773" max="773" width="11.25" style="31" customWidth="1"/>
    <col min="774" max="776" width="12.625" style="31" customWidth="1"/>
    <col min="777" max="777" width="10.5" style="31" customWidth="1"/>
    <col min="778" max="1025" width="9" style="31"/>
    <col min="1026" max="1026" width="60" style="31" customWidth="1"/>
    <col min="1027" max="1027" width="14" style="31" customWidth="1"/>
    <col min="1028" max="1028" width="9.25" style="31" bestFit="1" customWidth="1"/>
    <col min="1029" max="1029" width="11.25" style="31" customWidth="1"/>
    <col min="1030" max="1032" width="12.625" style="31" customWidth="1"/>
    <col min="1033" max="1033" width="10.5" style="31" customWidth="1"/>
    <col min="1034" max="1281" width="9" style="31"/>
    <col min="1282" max="1282" width="60" style="31" customWidth="1"/>
    <col min="1283" max="1283" width="14" style="31" customWidth="1"/>
    <col min="1284" max="1284" width="9.25" style="31" bestFit="1" customWidth="1"/>
    <col min="1285" max="1285" width="11.25" style="31" customWidth="1"/>
    <col min="1286" max="1288" width="12.625" style="31" customWidth="1"/>
    <col min="1289" max="1289" width="10.5" style="31" customWidth="1"/>
    <col min="1290" max="1537" width="9" style="31"/>
    <col min="1538" max="1538" width="60" style="31" customWidth="1"/>
    <col min="1539" max="1539" width="14" style="31" customWidth="1"/>
    <col min="1540" max="1540" width="9.25" style="31" bestFit="1" customWidth="1"/>
    <col min="1541" max="1541" width="11.25" style="31" customWidth="1"/>
    <col min="1542" max="1544" width="12.625" style="31" customWidth="1"/>
    <col min="1545" max="1545" width="10.5" style="31" customWidth="1"/>
    <col min="1546" max="1793" width="9" style="31"/>
    <col min="1794" max="1794" width="60" style="31" customWidth="1"/>
    <col min="1795" max="1795" width="14" style="31" customWidth="1"/>
    <col min="1796" max="1796" width="9.25" style="31" bestFit="1" customWidth="1"/>
    <col min="1797" max="1797" width="11.25" style="31" customWidth="1"/>
    <col min="1798" max="1800" width="12.625" style="31" customWidth="1"/>
    <col min="1801" max="1801" width="10.5" style="31" customWidth="1"/>
    <col min="1802" max="2049" width="9" style="31"/>
    <col min="2050" max="2050" width="60" style="31" customWidth="1"/>
    <col min="2051" max="2051" width="14" style="31" customWidth="1"/>
    <col min="2052" max="2052" width="9.25" style="31" bestFit="1" customWidth="1"/>
    <col min="2053" max="2053" width="11.25" style="31" customWidth="1"/>
    <col min="2054" max="2056" width="12.625" style="31" customWidth="1"/>
    <col min="2057" max="2057" width="10.5" style="31" customWidth="1"/>
    <col min="2058" max="2305" width="9" style="31"/>
    <col min="2306" max="2306" width="60" style="31" customWidth="1"/>
    <col min="2307" max="2307" width="14" style="31" customWidth="1"/>
    <col min="2308" max="2308" width="9.25" style="31" bestFit="1" customWidth="1"/>
    <col min="2309" max="2309" width="11.25" style="31" customWidth="1"/>
    <col min="2310" max="2312" width="12.625" style="31" customWidth="1"/>
    <col min="2313" max="2313" width="10.5" style="31" customWidth="1"/>
    <col min="2314" max="2561" width="9" style="31"/>
    <col min="2562" max="2562" width="60" style="31" customWidth="1"/>
    <col min="2563" max="2563" width="14" style="31" customWidth="1"/>
    <col min="2564" max="2564" width="9.25" style="31" bestFit="1" customWidth="1"/>
    <col min="2565" max="2565" width="11.25" style="31" customWidth="1"/>
    <col min="2566" max="2568" width="12.625" style="31" customWidth="1"/>
    <col min="2569" max="2569" width="10.5" style="31" customWidth="1"/>
    <col min="2570" max="2817" width="9" style="31"/>
    <col min="2818" max="2818" width="60" style="31" customWidth="1"/>
    <col min="2819" max="2819" width="14" style="31" customWidth="1"/>
    <col min="2820" max="2820" width="9.25" style="31" bestFit="1" customWidth="1"/>
    <col min="2821" max="2821" width="11.25" style="31" customWidth="1"/>
    <col min="2822" max="2824" width="12.625" style="31" customWidth="1"/>
    <col min="2825" max="2825" width="10.5" style="31" customWidth="1"/>
    <col min="2826" max="3073" width="9" style="31"/>
    <col min="3074" max="3074" width="60" style="31" customWidth="1"/>
    <col min="3075" max="3075" width="14" style="31" customWidth="1"/>
    <col min="3076" max="3076" width="9.25" style="31" bestFit="1" customWidth="1"/>
    <col min="3077" max="3077" width="11.25" style="31" customWidth="1"/>
    <col min="3078" max="3080" width="12.625" style="31" customWidth="1"/>
    <col min="3081" max="3081" width="10.5" style="31" customWidth="1"/>
    <col min="3082" max="3329" width="9" style="31"/>
    <col min="3330" max="3330" width="60" style="31" customWidth="1"/>
    <col min="3331" max="3331" width="14" style="31" customWidth="1"/>
    <col min="3332" max="3332" width="9.25" style="31" bestFit="1" customWidth="1"/>
    <col min="3333" max="3333" width="11.25" style="31" customWidth="1"/>
    <col min="3334" max="3336" width="12.625" style="31" customWidth="1"/>
    <col min="3337" max="3337" width="10.5" style="31" customWidth="1"/>
    <col min="3338" max="3585" width="9" style="31"/>
    <col min="3586" max="3586" width="60" style="31" customWidth="1"/>
    <col min="3587" max="3587" width="14" style="31" customWidth="1"/>
    <col min="3588" max="3588" width="9.25" style="31" bestFit="1" customWidth="1"/>
    <col min="3589" max="3589" width="11.25" style="31" customWidth="1"/>
    <col min="3590" max="3592" width="12.625" style="31" customWidth="1"/>
    <col min="3593" max="3593" width="10.5" style="31" customWidth="1"/>
    <col min="3594" max="3841" width="9" style="31"/>
    <col min="3842" max="3842" width="60" style="31" customWidth="1"/>
    <col min="3843" max="3843" width="14" style="31" customWidth="1"/>
    <col min="3844" max="3844" width="9.25" style="31" bestFit="1" customWidth="1"/>
    <col min="3845" max="3845" width="11.25" style="31" customWidth="1"/>
    <col min="3846" max="3848" width="12.625" style="31" customWidth="1"/>
    <col min="3849" max="3849" width="10.5" style="31" customWidth="1"/>
    <col min="3850" max="4097" width="9" style="31"/>
    <col min="4098" max="4098" width="60" style="31" customWidth="1"/>
    <col min="4099" max="4099" width="14" style="31" customWidth="1"/>
    <col min="4100" max="4100" width="9.25" style="31" bestFit="1" customWidth="1"/>
    <col min="4101" max="4101" width="11.25" style="31" customWidth="1"/>
    <col min="4102" max="4104" width="12.625" style="31" customWidth="1"/>
    <col min="4105" max="4105" width="10.5" style="31" customWidth="1"/>
    <col min="4106" max="4353" width="9" style="31"/>
    <col min="4354" max="4354" width="60" style="31" customWidth="1"/>
    <col min="4355" max="4355" width="14" style="31" customWidth="1"/>
    <col min="4356" max="4356" width="9.25" style="31" bestFit="1" customWidth="1"/>
    <col min="4357" max="4357" width="11.25" style="31" customWidth="1"/>
    <col min="4358" max="4360" width="12.625" style="31" customWidth="1"/>
    <col min="4361" max="4361" width="10.5" style="31" customWidth="1"/>
    <col min="4362" max="4609" width="9" style="31"/>
    <col min="4610" max="4610" width="60" style="31" customWidth="1"/>
    <col min="4611" max="4611" width="14" style="31" customWidth="1"/>
    <col min="4612" max="4612" width="9.25" style="31" bestFit="1" customWidth="1"/>
    <col min="4613" max="4613" width="11.25" style="31" customWidth="1"/>
    <col min="4614" max="4616" width="12.625" style="31" customWidth="1"/>
    <col min="4617" max="4617" width="10.5" style="31" customWidth="1"/>
    <col min="4618" max="4865" width="9" style="31"/>
    <col min="4866" max="4866" width="60" style="31" customWidth="1"/>
    <col min="4867" max="4867" width="14" style="31" customWidth="1"/>
    <col min="4868" max="4868" width="9.25" style="31" bestFit="1" customWidth="1"/>
    <col min="4869" max="4869" width="11.25" style="31" customWidth="1"/>
    <col min="4870" max="4872" width="12.625" style="31" customWidth="1"/>
    <col min="4873" max="4873" width="10.5" style="31" customWidth="1"/>
    <col min="4874" max="5121" width="9" style="31"/>
    <col min="5122" max="5122" width="60" style="31" customWidth="1"/>
    <col min="5123" max="5123" width="14" style="31" customWidth="1"/>
    <col min="5124" max="5124" width="9.25" style="31" bestFit="1" customWidth="1"/>
    <col min="5125" max="5125" width="11.25" style="31" customWidth="1"/>
    <col min="5126" max="5128" width="12.625" style="31" customWidth="1"/>
    <col min="5129" max="5129" width="10.5" style="31" customWidth="1"/>
    <col min="5130" max="5377" width="9" style="31"/>
    <col min="5378" max="5378" width="60" style="31" customWidth="1"/>
    <col min="5379" max="5379" width="14" style="31" customWidth="1"/>
    <col min="5380" max="5380" width="9.25" style="31" bestFit="1" customWidth="1"/>
    <col min="5381" max="5381" width="11.25" style="31" customWidth="1"/>
    <col min="5382" max="5384" width="12.625" style="31" customWidth="1"/>
    <col min="5385" max="5385" width="10.5" style="31" customWidth="1"/>
    <col min="5386" max="5633" width="9" style="31"/>
    <col min="5634" max="5634" width="60" style="31" customWidth="1"/>
    <col min="5635" max="5635" width="14" style="31" customWidth="1"/>
    <col min="5636" max="5636" width="9.25" style="31" bestFit="1" customWidth="1"/>
    <col min="5637" max="5637" width="11.25" style="31" customWidth="1"/>
    <col min="5638" max="5640" width="12.625" style="31" customWidth="1"/>
    <col min="5641" max="5641" width="10.5" style="31" customWidth="1"/>
    <col min="5642" max="5889" width="9" style="31"/>
    <col min="5890" max="5890" width="60" style="31" customWidth="1"/>
    <col min="5891" max="5891" width="14" style="31" customWidth="1"/>
    <col min="5892" max="5892" width="9.25" style="31" bestFit="1" customWidth="1"/>
    <col min="5893" max="5893" width="11.25" style="31" customWidth="1"/>
    <col min="5894" max="5896" width="12.625" style="31" customWidth="1"/>
    <col min="5897" max="5897" width="10.5" style="31" customWidth="1"/>
    <col min="5898" max="6145" width="9" style="31"/>
    <col min="6146" max="6146" width="60" style="31" customWidth="1"/>
    <col min="6147" max="6147" width="14" style="31" customWidth="1"/>
    <col min="6148" max="6148" width="9.25" style="31" bestFit="1" customWidth="1"/>
    <col min="6149" max="6149" width="11.25" style="31" customWidth="1"/>
    <col min="6150" max="6152" width="12.625" style="31" customWidth="1"/>
    <col min="6153" max="6153" width="10.5" style="31" customWidth="1"/>
    <col min="6154" max="6401" width="9" style="31"/>
    <col min="6402" max="6402" width="60" style="31" customWidth="1"/>
    <col min="6403" max="6403" width="14" style="31" customWidth="1"/>
    <col min="6404" max="6404" width="9.25" style="31" bestFit="1" customWidth="1"/>
    <col min="6405" max="6405" width="11.25" style="31" customWidth="1"/>
    <col min="6406" max="6408" width="12.625" style="31" customWidth="1"/>
    <col min="6409" max="6409" width="10.5" style="31" customWidth="1"/>
    <col min="6410" max="6657" width="9" style="31"/>
    <col min="6658" max="6658" width="60" style="31" customWidth="1"/>
    <col min="6659" max="6659" width="14" style="31" customWidth="1"/>
    <col min="6660" max="6660" width="9.25" style="31" bestFit="1" customWidth="1"/>
    <col min="6661" max="6661" width="11.25" style="31" customWidth="1"/>
    <col min="6662" max="6664" width="12.625" style="31" customWidth="1"/>
    <col min="6665" max="6665" width="10.5" style="31" customWidth="1"/>
    <col min="6666" max="6913" width="9" style="31"/>
    <col min="6914" max="6914" width="60" style="31" customWidth="1"/>
    <col min="6915" max="6915" width="14" style="31" customWidth="1"/>
    <col min="6916" max="6916" width="9.25" style="31" bestFit="1" customWidth="1"/>
    <col min="6917" max="6917" width="11.25" style="31" customWidth="1"/>
    <col min="6918" max="6920" width="12.625" style="31" customWidth="1"/>
    <col min="6921" max="6921" width="10.5" style="31" customWidth="1"/>
    <col min="6922" max="7169" width="9" style="31"/>
    <col min="7170" max="7170" width="60" style="31" customWidth="1"/>
    <col min="7171" max="7171" width="14" style="31" customWidth="1"/>
    <col min="7172" max="7172" width="9.25" style="31" bestFit="1" customWidth="1"/>
    <col min="7173" max="7173" width="11.25" style="31" customWidth="1"/>
    <col min="7174" max="7176" width="12.625" style="31" customWidth="1"/>
    <col min="7177" max="7177" width="10.5" style="31" customWidth="1"/>
    <col min="7178" max="7425" width="9" style="31"/>
    <col min="7426" max="7426" width="60" style="31" customWidth="1"/>
    <col min="7427" max="7427" width="14" style="31" customWidth="1"/>
    <col min="7428" max="7428" width="9.25" style="31" bestFit="1" customWidth="1"/>
    <col min="7429" max="7429" width="11.25" style="31" customWidth="1"/>
    <col min="7430" max="7432" width="12.625" style="31" customWidth="1"/>
    <col min="7433" max="7433" width="10.5" style="31" customWidth="1"/>
    <col min="7434" max="7681" width="9" style="31"/>
    <col min="7682" max="7682" width="60" style="31" customWidth="1"/>
    <col min="7683" max="7683" width="14" style="31" customWidth="1"/>
    <col min="7684" max="7684" width="9.25" style="31" bestFit="1" customWidth="1"/>
    <col min="7685" max="7685" width="11.25" style="31" customWidth="1"/>
    <col min="7686" max="7688" width="12.625" style="31" customWidth="1"/>
    <col min="7689" max="7689" width="10.5" style="31" customWidth="1"/>
    <col min="7690" max="7937" width="9" style="31"/>
    <col min="7938" max="7938" width="60" style="31" customWidth="1"/>
    <col min="7939" max="7939" width="14" style="31" customWidth="1"/>
    <col min="7940" max="7940" width="9.25" style="31" bestFit="1" customWidth="1"/>
    <col min="7941" max="7941" width="11.25" style="31" customWidth="1"/>
    <col min="7942" max="7944" width="12.625" style="31" customWidth="1"/>
    <col min="7945" max="7945" width="10.5" style="31" customWidth="1"/>
    <col min="7946" max="8193" width="9" style="31"/>
    <col min="8194" max="8194" width="60" style="31" customWidth="1"/>
    <col min="8195" max="8195" width="14" style="31" customWidth="1"/>
    <col min="8196" max="8196" width="9.25" style="31" bestFit="1" customWidth="1"/>
    <col min="8197" max="8197" width="11.25" style="31" customWidth="1"/>
    <col min="8198" max="8200" width="12.625" style="31" customWidth="1"/>
    <col min="8201" max="8201" width="10.5" style="31" customWidth="1"/>
    <col min="8202" max="8449" width="9" style="31"/>
    <col min="8450" max="8450" width="60" style="31" customWidth="1"/>
    <col min="8451" max="8451" width="14" style="31" customWidth="1"/>
    <col min="8452" max="8452" width="9.25" style="31" bestFit="1" customWidth="1"/>
    <col min="8453" max="8453" width="11.25" style="31" customWidth="1"/>
    <col min="8454" max="8456" width="12.625" style="31" customWidth="1"/>
    <col min="8457" max="8457" width="10.5" style="31" customWidth="1"/>
    <col min="8458" max="8705" width="9" style="31"/>
    <col min="8706" max="8706" width="60" style="31" customWidth="1"/>
    <col min="8707" max="8707" width="14" style="31" customWidth="1"/>
    <col min="8708" max="8708" width="9.25" style="31" bestFit="1" customWidth="1"/>
    <col min="8709" max="8709" width="11.25" style="31" customWidth="1"/>
    <col min="8710" max="8712" width="12.625" style="31" customWidth="1"/>
    <col min="8713" max="8713" width="10.5" style="31" customWidth="1"/>
    <col min="8714" max="8961" width="9" style="31"/>
    <col min="8962" max="8962" width="60" style="31" customWidth="1"/>
    <col min="8963" max="8963" width="14" style="31" customWidth="1"/>
    <col min="8964" max="8964" width="9.25" style="31" bestFit="1" customWidth="1"/>
    <col min="8965" max="8965" width="11.25" style="31" customWidth="1"/>
    <col min="8966" max="8968" width="12.625" style="31" customWidth="1"/>
    <col min="8969" max="8969" width="10.5" style="31" customWidth="1"/>
    <col min="8970" max="9217" width="9" style="31"/>
    <col min="9218" max="9218" width="60" style="31" customWidth="1"/>
    <col min="9219" max="9219" width="14" style="31" customWidth="1"/>
    <col min="9220" max="9220" width="9.25" style="31" bestFit="1" customWidth="1"/>
    <col min="9221" max="9221" width="11.25" style="31" customWidth="1"/>
    <col min="9222" max="9224" width="12.625" style="31" customWidth="1"/>
    <col min="9225" max="9225" width="10.5" style="31" customWidth="1"/>
    <col min="9226" max="9473" width="9" style="31"/>
    <col min="9474" max="9474" width="60" style="31" customWidth="1"/>
    <col min="9475" max="9475" width="14" style="31" customWidth="1"/>
    <col min="9476" max="9476" width="9.25" style="31" bestFit="1" customWidth="1"/>
    <col min="9477" max="9477" width="11.25" style="31" customWidth="1"/>
    <col min="9478" max="9480" width="12.625" style="31" customWidth="1"/>
    <col min="9481" max="9481" width="10.5" style="31" customWidth="1"/>
    <col min="9482" max="9729" width="9" style="31"/>
    <col min="9730" max="9730" width="60" style="31" customWidth="1"/>
    <col min="9731" max="9731" width="14" style="31" customWidth="1"/>
    <col min="9732" max="9732" width="9.25" style="31" bestFit="1" customWidth="1"/>
    <col min="9733" max="9733" width="11.25" style="31" customWidth="1"/>
    <col min="9734" max="9736" width="12.625" style="31" customWidth="1"/>
    <col min="9737" max="9737" width="10.5" style="31" customWidth="1"/>
    <col min="9738" max="9985" width="9" style="31"/>
    <col min="9986" max="9986" width="60" style="31" customWidth="1"/>
    <col min="9987" max="9987" width="14" style="31" customWidth="1"/>
    <col min="9988" max="9988" width="9.25" style="31" bestFit="1" customWidth="1"/>
    <col min="9989" max="9989" width="11.25" style="31" customWidth="1"/>
    <col min="9990" max="9992" width="12.625" style="31" customWidth="1"/>
    <col min="9993" max="9993" width="10.5" style="31" customWidth="1"/>
    <col min="9994" max="10241" width="9" style="31"/>
    <col min="10242" max="10242" width="60" style="31" customWidth="1"/>
    <col min="10243" max="10243" width="14" style="31" customWidth="1"/>
    <col min="10244" max="10244" width="9.25" style="31" bestFit="1" customWidth="1"/>
    <col min="10245" max="10245" width="11.25" style="31" customWidth="1"/>
    <col min="10246" max="10248" width="12.625" style="31" customWidth="1"/>
    <col min="10249" max="10249" width="10.5" style="31" customWidth="1"/>
    <col min="10250" max="10497" width="9" style="31"/>
    <col min="10498" max="10498" width="60" style="31" customWidth="1"/>
    <col min="10499" max="10499" width="14" style="31" customWidth="1"/>
    <col min="10500" max="10500" width="9.25" style="31" bestFit="1" customWidth="1"/>
    <col min="10501" max="10501" width="11.25" style="31" customWidth="1"/>
    <col min="10502" max="10504" width="12.625" style="31" customWidth="1"/>
    <col min="10505" max="10505" width="10.5" style="31" customWidth="1"/>
    <col min="10506" max="10753" width="9" style="31"/>
    <col min="10754" max="10754" width="60" style="31" customWidth="1"/>
    <col min="10755" max="10755" width="14" style="31" customWidth="1"/>
    <col min="10756" max="10756" width="9.25" style="31" bestFit="1" customWidth="1"/>
    <col min="10757" max="10757" width="11.25" style="31" customWidth="1"/>
    <col min="10758" max="10760" width="12.625" style="31" customWidth="1"/>
    <col min="10761" max="10761" width="10.5" style="31" customWidth="1"/>
    <col min="10762" max="11009" width="9" style="31"/>
    <col min="11010" max="11010" width="60" style="31" customWidth="1"/>
    <col min="11011" max="11011" width="14" style="31" customWidth="1"/>
    <col min="11012" max="11012" width="9.25" style="31" bestFit="1" customWidth="1"/>
    <col min="11013" max="11013" width="11.25" style="31" customWidth="1"/>
    <col min="11014" max="11016" width="12.625" style="31" customWidth="1"/>
    <col min="11017" max="11017" width="10.5" style="31" customWidth="1"/>
    <col min="11018" max="11265" width="9" style="31"/>
    <col min="11266" max="11266" width="60" style="31" customWidth="1"/>
    <col min="11267" max="11267" width="14" style="31" customWidth="1"/>
    <col min="11268" max="11268" width="9.25" style="31" bestFit="1" customWidth="1"/>
    <col min="11269" max="11269" width="11.25" style="31" customWidth="1"/>
    <col min="11270" max="11272" width="12.625" style="31" customWidth="1"/>
    <col min="11273" max="11273" width="10.5" style="31" customWidth="1"/>
    <col min="11274" max="11521" width="9" style="31"/>
    <col min="11522" max="11522" width="60" style="31" customWidth="1"/>
    <col min="11523" max="11523" width="14" style="31" customWidth="1"/>
    <col min="11524" max="11524" width="9.25" style="31" bestFit="1" customWidth="1"/>
    <col min="11525" max="11525" width="11.25" style="31" customWidth="1"/>
    <col min="11526" max="11528" width="12.625" style="31" customWidth="1"/>
    <col min="11529" max="11529" width="10.5" style="31" customWidth="1"/>
    <col min="11530" max="11777" width="9" style="31"/>
    <col min="11778" max="11778" width="60" style="31" customWidth="1"/>
    <col min="11779" max="11779" width="14" style="31" customWidth="1"/>
    <col min="11780" max="11780" width="9.25" style="31" bestFit="1" customWidth="1"/>
    <col min="11781" max="11781" width="11.25" style="31" customWidth="1"/>
    <col min="11782" max="11784" width="12.625" style="31" customWidth="1"/>
    <col min="11785" max="11785" width="10.5" style="31" customWidth="1"/>
    <col min="11786" max="12033" width="9" style="31"/>
    <col min="12034" max="12034" width="60" style="31" customWidth="1"/>
    <col min="12035" max="12035" width="14" style="31" customWidth="1"/>
    <col min="12036" max="12036" width="9.25" style="31" bestFit="1" customWidth="1"/>
    <col min="12037" max="12037" width="11.25" style="31" customWidth="1"/>
    <col min="12038" max="12040" width="12.625" style="31" customWidth="1"/>
    <col min="12041" max="12041" width="10.5" style="31" customWidth="1"/>
    <col min="12042" max="12289" width="9" style="31"/>
    <col min="12290" max="12290" width="60" style="31" customWidth="1"/>
    <col min="12291" max="12291" width="14" style="31" customWidth="1"/>
    <col min="12292" max="12292" width="9.25" style="31" bestFit="1" customWidth="1"/>
    <col min="12293" max="12293" width="11.25" style="31" customWidth="1"/>
    <col min="12294" max="12296" width="12.625" style="31" customWidth="1"/>
    <col min="12297" max="12297" width="10.5" style="31" customWidth="1"/>
    <col min="12298" max="12545" width="9" style="31"/>
    <col min="12546" max="12546" width="60" style="31" customWidth="1"/>
    <col min="12547" max="12547" width="14" style="31" customWidth="1"/>
    <col min="12548" max="12548" width="9.25" style="31" bestFit="1" customWidth="1"/>
    <col min="12549" max="12549" width="11.25" style="31" customWidth="1"/>
    <col min="12550" max="12552" width="12.625" style="31" customWidth="1"/>
    <col min="12553" max="12553" width="10.5" style="31" customWidth="1"/>
    <col min="12554" max="12801" width="9" style="31"/>
    <col min="12802" max="12802" width="60" style="31" customWidth="1"/>
    <col min="12803" max="12803" width="14" style="31" customWidth="1"/>
    <col min="12804" max="12804" width="9.25" style="31" bestFit="1" customWidth="1"/>
    <col min="12805" max="12805" width="11.25" style="31" customWidth="1"/>
    <col min="12806" max="12808" width="12.625" style="31" customWidth="1"/>
    <col min="12809" max="12809" width="10.5" style="31" customWidth="1"/>
    <col min="12810" max="13057" width="9" style="31"/>
    <col min="13058" max="13058" width="60" style="31" customWidth="1"/>
    <col min="13059" max="13059" width="14" style="31" customWidth="1"/>
    <col min="13060" max="13060" width="9.25" style="31" bestFit="1" customWidth="1"/>
    <col min="13061" max="13061" width="11.25" style="31" customWidth="1"/>
    <col min="13062" max="13064" width="12.625" style="31" customWidth="1"/>
    <col min="13065" max="13065" width="10.5" style="31" customWidth="1"/>
    <col min="13066" max="13313" width="9" style="31"/>
    <col min="13314" max="13314" width="60" style="31" customWidth="1"/>
    <col min="13315" max="13315" width="14" style="31" customWidth="1"/>
    <col min="13316" max="13316" width="9.25" style="31" bestFit="1" customWidth="1"/>
    <col min="13317" max="13317" width="11.25" style="31" customWidth="1"/>
    <col min="13318" max="13320" width="12.625" style="31" customWidth="1"/>
    <col min="13321" max="13321" width="10.5" style="31" customWidth="1"/>
    <col min="13322" max="13569" width="9" style="31"/>
    <col min="13570" max="13570" width="60" style="31" customWidth="1"/>
    <col min="13571" max="13571" width="14" style="31" customWidth="1"/>
    <col min="13572" max="13572" width="9.25" style="31" bestFit="1" customWidth="1"/>
    <col min="13573" max="13573" width="11.25" style="31" customWidth="1"/>
    <col min="13574" max="13576" width="12.625" style="31" customWidth="1"/>
    <col min="13577" max="13577" width="10.5" style="31" customWidth="1"/>
    <col min="13578" max="13825" width="9" style="31"/>
    <col min="13826" max="13826" width="60" style="31" customWidth="1"/>
    <col min="13827" max="13827" width="14" style="31" customWidth="1"/>
    <col min="13828" max="13828" width="9.25" style="31" bestFit="1" customWidth="1"/>
    <col min="13829" max="13829" width="11.25" style="31" customWidth="1"/>
    <col min="13830" max="13832" width="12.625" style="31" customWidth="1"/>
    <col min="13833" max="13833" width="10.5" style="31" customWidth="1"/>
    <col min="13834" max="14081" width="9" style="31"/>
    <col min="14082" max="14082" width="60" style="31" customWidth="1"/>
    <col min="14083" max="14083" width="14" style="31" customWidth="1"/>
    <col min="14084" max="14084" width="9.25" style="31" bestFit="1" customWidth="1"/>
    <col min="14085" max="14085" width="11.25" style="31" customWidth="1"/>
    <col min="14086" max="14088" width="12.625" style="31" customWidth="1"/>
    <col min="14089" max="14089" width="10.5" style="31" customWidth="1"/>
    <col min="14090" max="14337" width="9" style="31"/>
    <col min="14338" max="14338" width="60" style="31" customWidth="1"/>
    <col min="14339" max="14339" width="14" style="31" customWidth="1"/>
    <col min="14340" max="14340" width="9.25" style="31" bestFit="1" customWidth="1"/>
    <col min="14341" max="14341" width="11.25" style="31" customWidth="1"/>
    <col min="14342" max="14344" width="12.625" style="31" customWidth="1"/>
    <col min="14345" max="14345" width="10.5" style="31" customWidth="1"/>
    <col min="14346" max="14593" width="9" style="31"/>
    <col min="14594" max="14594" width="60" style="31" customWidth="1"/>
    <col min="14595" max="14595" width="14" style="31" customWidth="1"/>
    <col min="14596" max="14596" width="9.25" style="31" bestFit="1" customWidth="1"/>
    <col min="14597" max="14597" width="11.25" style="31" customWidth="1"/>
    <col min="14598" max="14600" width="12.625" style="31" customWidth="1"/>
    <col min="14601" max="14601" width="10.5" style="31" customWidth="1"/>
    <col min="14602" max="14849" width="9" style="31"/>
    <col min="14850" max="14850" width="60" style="31" customWidth="1"/>
    <col min="14851" max="14851" width="14" style="31" customWidth="1"/>
    <col min="14852" max="14852" width="9.25" style="31" bestFit="1" customWidth="1"/>
    <col min="14853" max="14853" width="11.25" style="31" customWidth="1"/>
    <col min="14854" max="14856" width="12.625" style="31" customWidth="1"/>
    <col min="14857" max="14857" width="10.5" style="31" customWidth="1"/>
    <col min="14858" max="15105" width="9" style="31"/>
    <col min="15106" max="15106" width="60" style="31" customWidth="1"/>
    <col min="15107" max="15107" width="14" style="31" customWidth="1"/>
    <col min="15108" max="15108" width="9.25" style="31" bestFit="1" customWidth="1"/>
    <col min="15109" max="15109" width="11.25" style="31" customWidth="1"/>
    <col min="15110" max="15112" width="12.625" style="31" customWidth="1"/>
    <col min="15113" max="15113" width="10.5" style="31" customWidth="1"/>
    <col min="15114" max="15361" width="9" style="31"/>
    <col min="15362" max="15362" width="60" style="31" customWidth="1"/>
    <col min="15363" max="15363" width="14" style="31" customWidth="1"/>
    <col min="15364" max="15364" width="9.25" style="31" bestFit="1" customWidth="1"/>
    <col min="15365" max="15365" width="11.25" style="31" customWidth="1"/>
    <col min="15366" max="15368" width="12.625" style="31" customWidth="1"/>
    <col min="15369" max="15369" width="10.5" style="31" customWidth="1"/>
    <col min="15370" max="15617" width="9" style="31"/>
    <col min="15618" max="15618" width="60" style="31" customWidth="1"/>
    <col min="15619" max="15619" width="14" style="31" customWidth="1"/>
    <col min="15620" max="15620" width="9.25" style="31" bestFit="1" customWidth="1"/>
    <col min="15621" max="15621" width="11.25" style="31" customWidth="1"/>
    <col min="15622" max="15624" width="12.625" style="31" customWidth="1"/>
    <col min="15625" max="15625" width="10.5" style="31" customWidth="1"/>
    <col min="15626" max="15873" width="9" style="31"/>
    <col min="15874" max="15874" width="60" style="31" customWidth="1"/>
    <col min="15875" max="15875" width="14" style="31" customWidth="1"/>
    <col min="15876" max="15876" width="9.25" style="31" bestFit="1" customWidth="1"/>
    <col min="15877" max="15877" width="11.25" style="31" customWidth="1"/>
    <col min="15878" max="15880" width="12.625" style="31" customWidth="1"/>
    <col min="15881" max="15881" width="10.5" style="31" customWidth="1"/>
    <col min="15882" max="16129" width="9" style="31"/>
    <col min="16130" max="16130" width="60" style="31" customWidth="1"/>
    <col min="16131" max="16131" width="14" style="31" customWidth="1"/>
    <col min="16132" max="16132" width="9.25" style="31" bestFit="1" customWidth="1"/>
    <col min="16133" max="16133" width="11.25" style="31" customWidth="1"/>
    <col min="16134" max="16136" width="12.625" style="31" customWidth="1"/>
    <col min="16137" max="16137" width="10.5" style="31" customWidth="1"/>
    <col min="16138" max="16384" width="9" style="31"/>
  </cols>
  <sheetData>
    <row r="1" spans="1:9" ht="18">
      <c r="A1" s="50"/>
      <c r="B1" s="51"/>
      <c r="C1" s="51"/>
      <c r="D1" s="51"/>
      <c r="E1" s="51"/>
      <c r="F1" s="51"/>
      <c r="G1" s="51"/>
      <c r="H1" s="52"/>
    </row>
    <row r="2" spans="1:9" ht="18" customHeight="1" thickBot="1">
      <c r="A2" s="223"/>
      <c r="B2" s="224"/>
      <c r="C2" s="224"/>
      <c r="D2" s="224"/>
      <c r="E2" s="224"/>
      <c r="F2" s="224"/>
      <c r="G2" s="224"/>
      <c r="H2" s="225"/>
    </row>
    <row r="3" spans="1:9" ht="13.5" thickBot="1">
      <c r="A3" s="7"/>
      <c r="B3" s="7"/>
      <c r="C3" s="53"/>
      <c r="D3" s="54"/>
      <c r="E3" s="55"/>
      <c r="F3" s="7"/>
      <c r="G3" s="7"/>
      <c r="H3" s="7"/>
    </row>
    <row r="4" spans="1:9">
      <c r="A4" s="56" t="s">
        <v>303</v>
      </c>
      <c r="B4" s="57"/>
      <c r="C4" s="58"/>
      <c r="D4" s="59"/>
      <c r="E4" s="60"/>
      <c r="F4" s="61"/>
      <c r="G4" s="61"/>
      <c r="H4" s="62"/>
    </row>
    <row r="5" spans="1:9">
      <c r="A5" s="63" t="s">
        <v>211</v>
      </c>
      <c r="B5" s="64"/>
      <c r="C5" s="65"/>
      <c r="D5" s="66"/>
      <c r="E5" s="67"/>
      <c r="F5" s="68"/>
      <c r="G5" s="69"/>
      <c r="H5" s="70"/>
    </row>
    <row r="6" spans="1:9" ht="13.5" thickBot="1">
      <c r="A6" s="71" t="s">
        <v>212</v>
      </c>
      <c r="B6" s="72"/>
      <c r="C6" s="73"/>
      <c r="D6" s="74"/>
      <c r="E6" s="75"/>
      <c r="F6" s="76"/>
      <c r="G6" s="76"/>
      <c r="H6" s="77"/>
    </row>
    <row r="7" spans="1:9" ht="13.5" thickBot="1">
      <c r="A7" s="64"/>
      <c r="B7" s="64"/>
      <c r="C7" s="65"/>
      <c r="D7" s="66"/>
      <c r="E7" s="67"/>
      <c r="F7" s="69"/>
      <c r="G7" s="69"/>
      <c r="H7" s="66"/>
    </row>
    <row r="8" spans="1:9" ht="13.5" thickBot="1">
      <c r="A8" s="226" t="s">
        <v>200</v>
      </c>
      <c r="B8" s="227"/>
      <c r="C8" s="227"/>
      <c r="D8" s="227"/>
      <c r="E8" s="227"/>
      <c r="F8" s="227"/>
      <c r="G8" s="227"/>
      <c r="H8" s="228"/>
    </row>
    <row r="9" spans="1:9" ht="13.5" thickBot="1"/>
    <row r="10" spans="1:9">
      <c r="A10" s="78" t="s">
        <v>16</v>
      </c>
      <c r="B10" s="79" t="s">
        <v>19</v>
      </c>
      <c r="C10" s="80" t="s">
        <v>21</v>
      </c>
      <c r="D10" s="79" t="s">
        <v>76</v>
      </c>
      <c r="E10" s="79">
        <v>1</v>
      </c>
      <c r="F10" s="79">
        <v>2</v>
      </c>
      <c r="G10" s="79">
        <v>3</v>
      </c>
      <c r="H10" s="81">
        <v>4</v>
      </c>
    </row>
    <row r="11" spans="1:9">
      <c r="A11" s="82"/>
      <c r="B11" s="30"/>
      <c r="C11" s="83"/>
      <c r="D11" s="24"/>
      <c r="E11" s="24"/>
      <c r="F11" s="24"/>
      <c r="G11" s="24"/>
      <c r="H11" s="84"/>
    </row>
    <row r="12" spans="1:9" ht="14.25">
      <c r="A12" s="22">
        <f>'2 SALA(s) - 110V_BLOCOS'!B14</f>
        <v>1</v>
      </c>
      <c r="B12" s="85" t="s">
        <v>109</v>
      </c>
      <c r="C12" s="29">
        <f>'2 SALA(s) - 110V_BLOCOS'!J14</f>
        <v>46401.83</v>
      </c>
      <c r="D12" s="23">
        <f>C12/$C$49</f>
        <v>5.0561673361501906E-2</v>
      </c>
      <c r="E12" s="26">
        <v>1</v>
      </c>
      <c r="F12" s="23"/>
      <c r="G12" s="24"/>
      <c r="H12" s="84"/>
      <c r="I12" s="86"/>
    </row>
    <row r="13" spans="1:9" ht="14.25">
      <c r="A13" s="22"/>
      <c r="B13" s="24"/>
      <c r="C13" s="29"/>
      <c r="D13" s="23"/>
      <c r="E13" s="25">
        <f>$C12*E12</f>
        <v>46401.83</v>
      </c>
      <c r="F13" s="25"/>
      <c r="G13" s="24"/>
      <c r="H13" s="84"/>
      <c r="I13" s="86"/>
    </row>
    <row r="14" spans="1:9" ht="14.25">
      <c r="A14" s="22">
        <f>'2 SALA(s) - 110V_BLOCOS'!B22</f>
        <v>2</v>
      </c>
      <c r="B14" s="24" t="s">
        <v>314</v>
      </c>
      <c r="C14" s="29">
        <f>'2 SALA(s) - 110V_BLOCOS'!J22</f>
        <v>9525.82</v>
      </c>
      <c r="D14" s="23">
        <f>C14/$C$49</f>
        <v>1.0379793196528285E-2</v>
      </c>
      <c r="E14" s="26">
        <v>1</v>
      </c>
      <c r="F14" s="25"/>
      <c r="G14" s="24"/>
      <c r="H14" s="84"/>
      <c r="I14" s="86"/>
    </row>
    <row r="15" spans="1:9" ht="14.25">
      <c r="A15" s="22"/>
      <c r="B15" s="24"/>
      <c r="C15" s="29"/>
      <c r="D15" s="23"/>
      <c r="E15" s="25">
        <f>E14*$C$14</f>
        <v>9525.82</v>
      </c>
      <c r="F15" s="25"/>
      <c r="G15" s="24"/>
      <c r="H15" s="84"/>
      <c r="I15" s="86"/>
    </row>
    <row r="16" spans="1:9" ht="14.25">
      <c r="A16" s="22">
        <f>'2 SALA(s) - 110V_BLOCOS'!B31</f>
        <v>3</v>
      </c>
      <c r="B16" s="24" t="s">
        <v>135</v>
      </c>
      <c r="C16" s="29">
        <f>'2 SALA(s) - 110V_BLOCOS'!J31</f>
        <v>23377.05</v>
      </c>
      <c r="D16" s="23">
        <f>C16/$C$49</f>
        <v>2.5472761877182389E-2</v>
      </c>
      <c r="E16" s="26">
        <v>1</v>
      </c>
      <c r="F16" s="27"/>
      <c r="G16" s="23"/>
      <c r="H16" s="84"/>
      <c r="I16" s="86"/>
    </row>
    <row r="17" spans="1:9" ht="14.25">
      <c r="A17" s="22"/>
      <c r="B17" s="24"/>
      <c r="C17" s="29"/>
      <c r="D17" s="23"/>
      <c r="E17" s="25">
        <f>$C16*E16</f>
        <v>23377.05</v>
      </c>
      <c r="F17" s="25"/>
      <c r="G17" s="25"/>
      <c r="H17" s="84"/>
      <c r="I17" s="86"/>
    </row>
    <row r="18" spans="1:9" ht="14.25">
      <c r="A18" s="22">
        <f>'2 SALA(s) - 110V_BLOCOS'!B39</f>
        <v>4</v>
      </c>
      <c r="B18" s="24" t="s">
        <v>59</v>
      </c>
      <c r="C18" s="29">
        <f>'2 SALA(s) - 110V_BLOCOS'!J39</f>
        <v>108708.44999999998</v>
      </c>
      <c r="D18" s="23">
        <f>C18/$C$49</f>
        <v>0.11845397348628622</v>
      </c>
      <c r="E18" s="26">
        <v>0.6</v>
      </c>
      <c r="F18" s="26">
        <v>0.4</v>
      </c>
      <c r="G18" s="27"/>
      <c r="H18" s="84"/>
      <c r="I18" s="86"/>
    </row>
    <row r="19" spans="1:9" ht="14.25">
      <c r="A19" s="22"/>
      <c r="B19" s="24"/>
      <c r="C19" s="29"/>
      <c r="D19" s="23"/>
      <c r="E19" s="25">
        <f>C18*E18</f>
        <v>65225.069999999985</v>
      </c>
      <c r="F19" s="25">
        <f>C18*F18</f>
        <v>43483.38</v>
      </c>
      <c r="G19" s="25"/>
      <c r="H19" s="84"/>
      <c r="I19" s="86"/>
    </row>
    <row r="20" spans="1:9" ht="14.25">
      <c r="A20" s="22">
        <f>'2 SALA(s) - 110V_BLOCOS'!B60</f>
        <v>5</v>
      </c>
      <c r="B20" s="198" t="s">
        <v>110</v>
      </c>
      <c r="C20" s="29">
        <f>'2 SALA(s) - 110V_BLOCOS'!J60</f>
        <v>130215.47</v>
      </c>
      <c r="D20" s="23">
        <f>C20/$C$49</f>
        <v>0.14188906042616101</v>
      </c>
      <c r="E20" s="24"/>
      <c r="F20" s="26">
        <v>0.6</v>
      </c>
      <c r="G20" s="26">
        <v>0.4</v>
      </c>
      <c r="H20" s="87"/>
      <c r="I20" s="86"/>
    </row>
    <row r="21" spans="1:9" ht="14.25">
      <c r="A21" s="22"/>
      <c r="B21" s="24"/>
      <c r="C21" s="29"/>
      <c r="D21" s="23"/>
      <c r="E21" s="24"/>
      <c r="F21" s="25">
        <f>C20*F20</f>
        <v>78129.281999999992</v>
      </c>
      <c r="G21" s="25">
        <f>C20*G20</f>
        <v>52086.188000000002</v>
      </c>
      <c r="H21" s="88"/>
      <c r="I21" s="86"/>
    </row>
    <row r="22" spans="1:9" ht="14.25">
      <c r="A22" s="22">
        <f>'2 SALA(s) - 110V_BLOCOS'!B80</f>
        <v>5</v>
      </c>
      <c r="B22" s="24" t="s">
        <v>159</v>
      </c>
      <c r="C22" s="29">
        <f>'2 SALA(s) - 110V_BLOCOS'!J80</f>
        <v>70078.83</v>
      </c>
      <c r="D22" s="23">
        <f>C22/$C$49</f>
        <v>7.6361275234537535E-2</v>
      </c>
      <c r="E22" s="24"/>
      <c r="F22" s="26">
        <v>0.8</v>
      </c>
      <c r="G22" s="26">
        <v>0.2</v>
      </c>
      <c r="H22" s="87"/>
      <c r="I22" s="86"/>
    </row>
    <row r="23" spans="1:9" ht="14.25">
      <c r="A23" s="22"/>
      <c r="B23" s="24"/>
      <c r="C23" s="29"/>
      <c r="D23" s="23"/>
      <c r="E23" s="24"/>
      <c r="F23" s="25">
        <f>C22*F22</f>
        <v>56063.064000000006</v>
      </c>
      <c r="G23" s="25">
        <f>$C22*G22</f>
        <v>14015.766000000001</v>
      </c>
      <c r="H23" s="88"/>
      <c r="I23" s="86"/>
    </row>
    <row r="24" spans="1:9" ht="14.25">
      <c r="A24" s="22">
        <f>'2 SALA(s) - 110V_BLOCOS'!B86</f>
        <v>6</v>
      </c>
      <c r="B24" s="24" t="s">
        <v>111</v>
      </c>
      <c r="C24" s="29">
        <f>'2 SALA(s) - 110V_BLOCOS'!J86</f>
        <v>54515.66</v>
      </c>
      <c r="D24" s="23">
        <f>C24/$C$49</f>
        <v>5.9402894110139513E-2</v>
      </c>
      <c r="E24" s="24"/>
      <c r="F24" s="26">
        <v>0.4</v>
      </c>
      <c r="G24" s="26">
        <v>0.6</v>
      </c>
      <c r="H24" s="87"/>
      <c r="I24" s="86"/>
    </row>
    <row r="25" spans="1:9" ht="14.25">
      <c r="A25" s="22"/>
      <c r="B25" s="24"/>
      <c r="C25" s="29"/>
      <c r="D25" s="23"/>
      <c r="E25" s="24"/>
      <c r="F25" s="25">
        <f>C24*F24</f>
        <v>21806.264000000003</v>
      </c>
      <c r="G25" s="25">
        <f>C24*G24</f>
        <v>32709.396000000001</v>
      </c>
      <c r="H25" s="88"/>
      <c r="I25" s="86"/>
    </row>
    <row r="26" spans="1:9" ht="14.25">
      <c r="A26" s="22">
        <f>'2 SALA(s) - 110V_BLOCOS'!B103</f>
        <v>7</v>
      </c>
      <c r="B26" s="24" t="s">
        <v>133</v>
      </c>
      <c r="C26" s="29">
        <f>'2 SALA(s) - 110V_BLOCOS'!J103</f>
        <v>101568.1</v>
      </c>
      <c r="D26" s="23">
        <f>C26/$C$49</f>
        <v>0.1106735035266575</v>
      </c>
      <c r="E26" s="24"/>
      <c r="F26" s="26">
        <v>0.4</v>
      </c>
      <c r="G26" s="26">
        <v>0.6</v>
      </c>
      <c r="H26" s="87"/>
      <c r="I26" s="86"/>
    </row>
    <row r="27" spans="1:9" ht="14.25">
      <c r="A27" s="22"/>
      <c r="B27" s="24"/>
      <c r="C27" s="29"/>
      <c r="D27" s="23"/>
      <c r="E27" s="24"/>
      <c r="F27" s="25">
        <f>C26*F26</f>
        <v>40627.240000000005</v>
      </c>
      <c r="G27" s="25">
        <f>C26*G26</f>
        <v>60940.86</v>
      </c>
      <c r="H27" s="88"/>
      <c r="I27" s="86"/>
    </row>
    <row r="28" spans="1:9" ht="14.25">
      <c r="A28" s="22">
        <f>'2 SALA(s) - 110V_BLOCOS'!B112</f>
        <v>8</v>
      </c>
      <c r="B28" s="24" t="s">
        <v>93</v>
      </c>
      <c r="C28" s="29">
        <f>'2 SALA(s) - 110V_BLOCOS'!J112</f>
        <v>2660.2</v>
      </c>
      <c r="D28" s="23">
        <f>C28/$C$49</f>
        <v>2.8986823036131842E-3</v>
      </c>
      <c r="E28" s="26">
        <v>1</v>
      </c>
      <c r="F28" s="28"/>
      <c r="G28" s="28"/>
      <c r="H28" s="87"/>
      <c r="I28" s="86"/>
    </row>
    <row r="29" spans="1:9" ht="14.25">
      <c r="A29" s="22"/>
      <c r="B29" s="24"/>
      <c r="C29" s="29"/>
      <c r="D29" s="23"/>
      <c r="E29" s="25">
        <f>$C28*E28</f>
        <v>2660.2</v>
      </c>
      <c r="F29" s="28"/>
      <c r="G29" s="28"/>
      <c r="H29" s="87"/>
      <c r="I29" s="86"/>
    </row>
    <row r="30" spans="1:9" ht="14.25">
      <c r="A30" s="22">
        <f>'2 SALA(s) - 110V_BLOCOS'!B116</f>
        <v>9</v>
      </c>
      <c r="B30" s="198" t="s">
        <v>157</v>
      </c>
      <c r="C30" s="29">
        <f>'2 SALA(s) - 110V_BLOCOS'!J116</f>
        <v>132147.87</v>
      </c>
      <c r="D30" s="197">
        <f>C30/$C$49</f>
        <v>0.14399469672550019</v>
      </c>
      <c r="E30" s="24"/>
      <c r="F30" s="26">
        <v>0.5</v>
      </c>
      <c r="G30" s="26">
        <v>0.5</v>
      </c>
      <c r="H30" s="87"/>
      <c r="I30" s="86"/>
    </row>
    <row r="31" spans="1:9" ht="14.25">
      <c r="A31" s="22"/>
      <c r="B31" s="24"/>
      <c r="C31" s="29"/>
      <c r="D31" s="23"/>
      <c r="E31" s="24"/>
      <c r="F31" s="25">
        <f>C30*F30</f>
        <v>66073.934999999998</v>
      </c>
      <c r="G31" s="25">
        <f>C30*G30</f>
        <v>66073.934999999998</v>
      </c>
      <c r="H31" s="87"/>
      <c r="I31" s="86"/>
    </row>
    <row r="32" spans="1:9" ht="14.25">
      <c r="A32" s="22">
        <f>'2 SALA(s) - 110V_BLOCOS'!B124</f>
        <v>10</v>
      </c>
      <c r="B32" s="24" t="s">
        <v>161</v>
      </c>
      <c r="C32" s="29">
        <f>'2 SALA(s) - 110V_BLOCOS'!J124</f>
        <v>73665.460000000006</v>
      </c>
      <c r="D32" s="23">
        <f>C32/$C$49</f>
        <v>8.0269440376484813E-2</v>
      </c>
      <c r="E32" s="24"/>
      <c r="F32" s="26">
        <v>0.3</v>
      </c>
      <c r="G32" s="26">
        <v>0.7</v>
      </c>
      <c r="H32" s="87"/>
      <c r="I32" s="86"/>
    </row>
    <row r="33" spans="1:9" ht="14.25">
      <c r="A33" s="22"/>
      <c r="B33" s="24"/>
      <c r="C33" s="29"/>
      <c r="D33" s="23"/>
      <c r="E33" s="24"/>
      <c r="F33" s="25">
        <f>C32*F32</f>
        <v>22099.638000000003</v>
      </c>
      <c r="G33" s="25">
        <f>C32*G32</f>
        <v>51565.822</v>
      </c>
      <c r="H33" s="88"/>
      <c r="I33" s="86"/>
    </row>
    <row r="34" spans="1:9" ht="14.25">
      <c r="A34" s="22">
        <f>'2 SALA(s) - 110V_BLOCOS'!B133</f>
        <v>11</v>
      </c>
      <c r="B34" s="24" t="s">
        <v>156</v>
      </c>
      <c r="C34" s="29">
        <f>'2 SALA(s) - 110V_BLOCOS'!J133</f>
        <v>89371.18</v>
      </c>
      <c r="D34" s="23">
        <f>C34/$C$49</f>
        <v>9.7383150860472348E-2</v>
      </c>
      <c r="E34" s="24"/>
      <c r="F34" s="24"/>
      <c r="G34" s="24"/>
      <c r="H34" s="89">
        <v>1</v>
      </c>
      <c r="I34" s="86"/>
    </row>
    <row r="35" spans="1:9" ht="14.25">
      <c r="A35" s="22"/>
      <c r="B35" s="24"/>
      <c r="C35" s="29"/>
      <c r="D35" s="23"/>
      <c r="E35" s="24"/>
      <c r="F35" s="24"/>
      <c r="G35" s="24"/>
      <c r="H35" s="88">
        <f>$C34*H34</f>
        <v>89371.18</v>
      </c>
      <c r="I35" s="86"/>
    </row>
    <row r="36" spans="1:9" ht="14.25">
      <c r="A36" s="22">
        <f>'2 SALA(s) - 110V_BLOCOS'!B141</f>
        <v>12</v>
      </c>
      <c r="B36" s="24" t="s">
        <v>163</v>
      </c>
      <c r="C36" s="29">
        <f>'2 SALA(s) - 110V_BLOCOS'!J141</f>
        <v>5958.3099999999986</v>
      </c>
      <c r="D36" s="23">
        <f>C36/$C$49</f>
        <v>6.4924621293291742E-3</v>
      </c>
      <c r="E36" s="24"/>
      <c r="F36" s="26">
        <v>0.2</v>
      </c>
      <c r="G36" s="26">
        <v>0.4</v>
      </c>
      <c r="H36" s="89">
        <v>0.4</v>
      </c>
      <c r="I36" s="86"/>
    </row>
    <row r="37" spans="1:9" ht="14.25">
      <c r="A37" s="22"/>
      <c r="B37" s="24"/>
      <c r="C37" s="29"/>
      <c r="D37" s="23"/>
      <c r="E37" s="24"/>
      <c r="F37" s="25">
        <f>$C36*F36</f>
        <v>1191.6619999999998</v>
      </c>
      <c r="G37" s="25">
        <f>$C36*G36</f>
        <v>2383.3239999999996</v>
      </c>
      <c r="H37" s="88">
        <f>$C36*H36</f>
        <v>2383.3239999999996</v>
      </c>
      <c r="I37" s="86"/>
    </row>
    <row r="38" spans="1:9" ht="14.25">
      <c r="A38" s="22">
        <f>'2 SALA(s) - 110V_BLOCOS'!B165</f>
        <v>13</v>
      </c>
      <c r="B38" s="24" t="s">
        <v>164</v>
      </c>
      <c r="C38" s="29">
        <f>'2 SALA(s) - 110V_BLOCOS'!J165</f>
        <v>15128.019999999999</v>
      </c>
      <c r="D38" s="23">
        <f>C38/$C$49</f>
        <v>1.6484220683672775E-2</v>
      </c>
      <c r="E38" s="24"/>
      <c r="F38" s="26">
        <v>0.1</v>
      </c>
      <c r="G38" s="26">
        <v>0.5</v>
      </c>
      <c r="H38" s="89">
        <v>0.4</v>
      </c>
      <c r="I38" s="86"/>
    </row>
    <row r="39" spans="1:9" ht="14.25">
      <c r="A39" s="22"/>
      <c r="B39" s="24"/>
      <c r="C39" s="29"/>
      <c r="D39" s="23"/>
      <c r="E39" s="24"/>
      <c r="F39" s="25">
        <f>$C38*F38</f>
        <v>1512.8019999999999</v>
      </c>
      <c r="G39" s="25">
        <f>$C38*G38</f>
        <v>7564.0099999999993</v>
      </c>
      <c r="H39" s="88">
        <f>$C38*H38</f>
        <v>6051.2079999999996</v>
      </c>
      <c r="I39" s="86"/>
    </row>
    <row r="40" spans="1:9" ht="14.25">
      <c r="A40" s="22">
        <f>'2 SALA(s) - 110V_BLOCOS'!B185</f>
        <v>14</v>
      </c>
      <c r="B40" s="24" t="s">
        <v>160</v>
      </c>
      <c r="C40" s="29">
        <f>'2 SALA(s) - 110V_BLOCOS'!J185</f>
        <v>17039.109999999997</v>
      </c>
      <c r="D40" s="23">
        <f>C40/$C$49</f>
        <v>1.8566636578572451E-2</v>
      </c>
      <c r="E40" s="24"/>
      <c r="F40" s="26"/>
      <c r="G40" s="26">
        <v>0.3</v>
      </c>
      <c r="H40" s="89">
        <v>0.7</v>
      </c>
      <c r="I40" s="86"/>
    </row>
    <row r="41" spans="1:9" ht="14.25">
      <c r="A41" s="22"/>
      <c r="B41" s="24"/>
      <c r="C41" s="29"/>
      <c r="D41" s="23"/>
      <c r="E41" s="24"/>
      <c r="F41" s="25">
        <f>$C40*F40</f>
        <v>0</v>
      </c>
      <c r="G41" s="25">
        <f>$C40*G40</f>
        <v>5111.7329999999993</v>
      </c>
      <c r="H41" s="88">
        <f>$C40*H40</f>
        <v>11927.376999999997</v>
      </c>
      <c r="I41" s="86"/>
    </row>
    <row r="42" spans="1:9" ht="14.25">
      <c r="A42" s="22">
        <f>'2 SALA(s) - 110V_BLOCOS'!B195</f>
        <v>15</v>
      </c>
      <c r="B42" s="24" t="s">
        <v>60</v>
      </c>
      <c r="C42" s="29">
        <f>'2 SALA(s) - 110V_BLOCOS'!J195</f>
        <v>5650.78</v>
      </c>
      <c r="D42" s="23">
        <f>C42/$C$49</f>
        <v>6.1573625996584128E-3</v>
      </c>
      <c r="E42" s="24"/>
      <c r="F42" s="26">
        <v>0.8</v>
      </c>
      <c r="G42" s="26">
        <v>0.2</v>
      </c>
      <c r="H42" s="90"/>
      <c r="I42" s="86"/>
    </row>
    <row r="43" spans="1:9" ht="14.25">
      <c r="A43" s="22"/>
      <c r="B43" s="24"/>
      <c r="C43" s="29"/>
      <c r="D43" s="23"/>
      <c r="E43" s="24"/>
      <c r="F43" s="25">
        <f>C42*F42</f>
        <v>4520.6239999999998</v>
      </c>
      <c r="G43" s="25">
        <f>C42*G42</f>
        <v>1130.1559999999999</v>
      </c>
      <c r="H43" s="88"/>
      <c r="I43" s="86"/>
    </row>
    <row r="44" spans="1:9" ht="14.25">
      <c r="A44" s="22">
        <f>'2 SALA(s) - 110V_BLOCOS'!B203</f>
        <v>16</v>
      </c>
      <c r="B44" s="24" t="s">
        <v>204</v>
      </c>
      <c r="C44" s="29">
        <f>'2 SALA(s) - 110V_BLOCOS'!J203</f>
        <v>30592.809999999998</v>
      </c>
      <c r="D44" s="23">
        <f>C44/$C$49</f>
        <v>3.3335402212164668E-2</v>
      </c>
      <c r="E44" s="24"/>
      <c r="F44" s="28"/>
      <c r="G44" s="26">
        <v>0.6</v>
      </c>
      <c r="H44" s="89">
        <v>0.4</v>
      </c>
      <c r="I44" s="86"/>
    </row>
    <row r="45" spans="1:9" ht="14.25">
      <c r="A45" s="22"/>
      <c r="B45" s="24"/>
      <c r="C45" s="29"/>
      <c r="D45" s="23"/>
      <c r="E45" s="24"/>
      <c r="F45" s="25"/>
      <c r="G45" s="25">
        <f>C44*G44</f>
        <v>18355.685999999998</v>
      </c>
      <c r="H45" s="88">
        <f>$C44*H44</f>
        <v>12237.124</v>
      </c>
      <c r="I45" s="86"/>
    </row>
    <row r="46" spans="1:9" ht="14.25">
      <c r="A46" s="22">
        <f>'2 SALA(s) - 110V_BLOCOS'!B230</f>
        <v>17</v>
      </c>
      <c r="B46" s="24" t="s">
        <v>7</v>
      </c>
      <c r="C46" s="29">
        <f>'2 SALA(s) - 110V_BLOCOS'!J230</f>
        <v>1122.3900000000001</v>
      </c>
      <c r="D46" s="23">
        <f>C46/$C$49</f>
        <v>1.2230103115376295E-3</v>
      </c>
      <c r="E46" s="24"/>
      <c r="F46" s="24"/>
      <c r="G46" s="26">
        <v>0.3</v>
      </c>
      <c r="H46" s="89">
        <v>0.7</v>
      </c>
      <c r="I46" s="86"/>
    </row>
    <row r="47" spans="1:9" ht="15" thickBot="1">
      <c r="A47" s="91"/>
      <c r="B47" s="92"/>
      <c r="C47" s="93"/>
      <c r="D47" s="94"/>
      <c r="E47" s="92"/>
      <c r="F47" s="95"/>
      <c r="G47" s="142">
        <f>$C46*G46</f>
        <v>336.71700000000004</v>
      </c>
      <c r="H47" s="96">
        <f>$C46*H46</f>
        <v>785.673</v>
      </c>
      <c r="I47" s="86"/>
    </row>
    <row r="48" spans="1:9" ht="15" thickBot="1">
      <c r="C48" s="32"/>
    </row>
    <row r="49" spans="1:8" ht="13.5" thickBot="1">
      <c r="A49" s="229" t="s">
        <v>77</v>
      </c>
      <c r="B49" s="230"/>
      <c r="C49" s="97">
        <f>ROUNDDOWN(SUM(C12:C47),2)</f>
        <v>917727.34</v>
      </c>
      <c r="D49" s="98"/>
      <c r="E49" s="99">
        <f>E13+E17+E19+E21+E23+E25+E27+E29+E31+E33+E35+E37+E39+E41+E43+E45+E47+E15</f>
        <v>147189.97</v>
      </c>
      <c r="F49" s="99">
        <f>F13+F17+F19+F21+F23+F25+F27+F29+F31+F33+F35+F37+F39+F41+F43+F45+F47+F15</f>
        <v>335507.891</v>
      </c>
      <c r="G49" s="99">
        <f>G13+G17+G19+G21+G23+G25+G27+G29+G31+G33+G35+G37+G39+G41+G43+G45+G47+G15</f>
        <v>312273.59300000005</v>
      </c>
      <c r="H49" s="99">
        <f>H13+H17+H19+H21+H23+H25+H27+H29+H31+H33+H35+H37+H39+H41+H43+H45+H47+H15</f>
        <v>122755.88599999997</v>
      </c>
    </row>
    <row r="50" spans="1:8" ht="15" thickBot="1">
      <c r="C50" s="32"/>
      <c r="E50" s="100">
        <f>E49/$C$49</f>
        <v>0.16038529483059752</v>
      </c>
      <c r="F50" s="101">
        <f>F49/$C$49</f>
        <v>0.36558558994221529</v>
      </c>
      <c r="G50" s="101">
        <f>G49/$C$49</f>
        <v>0.3402683775335712</v>
      </c>
      <c r="H50" s="102">
        <f>H49/$C$49</f>
        <v>0.13376073769361602</v>
      </c>
    </row>
    <row r="51" spans="1:8" ht="15" thickBot="1">
      <c r="C51" s="32"/>
      <c r="E51" s="33">
        <f>D51+E50</f>
        <v>0.16038529483059752</v>
      </c>
      <c r="F51" s="34">
        <f>E51+F50</f>
        <v>0.52597088477281284</v>
      </c>
      <c r="G51" s="34">
        <f>F51+G50</f>
        <v>0.86623926230638404</v>
      </c>
      <c r="H51" s="103">
        <f>G51+H50</f>
        <v>1</v>
      </c>
    </row>
    <row r="52" spans="1:8" ht="14.25">
      <c r="C52" s="32"/>
    </row>
    <row r="55" spans="1:8">
      <c r="B55" s="193" t="str">
        <f>'2 SALA(s) - 110V_BLOCOS'!E238</f>
        <v>Engº Thiago Sanches Alves Corrêa</v>
      </c>
    </row>
    <row r="56" spans="1:8">
      <c r="B56" s="193" t="str">
        <f>'2 SALA(s) - 110V_BLOCOS'!E239</f>
        <v>Crea 11.027/D-MS</v>
      </c>
    </row>
  </sheetData>
  <mergeCells count="3">
    <mergeCell ref="A2:H2"/>
    <mergeCell ref="A8:H8"/>
    <mergeCell ref="A49:B49"/>
  </mergeCells>
  <pageMargins left="0.511811024" right="0.511811024" top="0.78740157499999996" bottom="0.78740157499999996" header="0.31496062000000002" footer="0.31496062000000002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2 SALA(s) - 110V_BLOCOS</vt:lpstr>
      <vt:lpstr>cronograma</vt:lpstr>
      <vt:lpstr>'2 SALA(s) - 110V_BLOCOS'!Area_de_impressao</vt:lpstr>
      <vt:lpstr>'2 SALA(s) - 110V_BLOCOS'!Titulos_de_impressao</vt:lpstr>
    </vt:vector>
  </TitlesOfParts>
  <Company>Fnde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CÉLIA</cp:lastModifiedBy>
  <cp:lastPrinted>2020-03-06T15:24:20Z</cp:lastPrinted>
  <dcterms:created xsi:type="dcterms:W3CDTF">2012-10-15T18:57:41Z</dcterms:created>
  <dcterms:modified xsi:type="dcterms:W3CDTF">2020-09-11T12:47:11Z</dcterms:modified>
</cp:coreProperties>
</file>