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/>
  <mc:AlternateContent xmlns:mc="http://schemas.openxmlformats.org/markup-compatibility/2006">
    <mc:Choice Requires="x15">
      <x15ac:absPath xmlns:x15ac="http://schemas.microsoft.com/office/spreadsheetml/2010/11/ac" url="\\192.168.2.157\Licitação\"/>
    </mc:Choice>
  </mc:AlternateContent>
  <xr:revisionPtr revIDLastSave="0" documentId="8_{E7B0882B-0AD2-48BA-B0DB-645ED4DD1B24}" xr6:coauthVersionLast="33" xr6:coauthVersionMax="33" xr10:uidLastSave="{00000000-0000-0000-0000-000000000000}"/>
  <bookViews>
    <workbookView xWindow="0" yWindow="0" windowWidth="17280" windowHeight="6936" tabRatio="821" activeTab="1" xr2:uid="{00000000-000D-0000-FFFF-FFFF00000000}"/>
  </bookViews>
  <sheets>
    <sheet name="Resumo" sheetId="2" r:id="rId1"/>
    <sheet name="Planilha" sheetId="1" r:id="rId2"/>
    <sheet name="Físico-Financeiro" sheetId="3" r:id="rId3"/>
    <sheet name="Memória de Calculo" sheetId="12" r:id="rId4"/>
    <sheet name="Comp 01" sheetId="13" r:id="rId5"/>
    <sheet name="Comp 02" sheetId="17" r:id="rId6"/>
    <sheet name="Comp 03" sheetId="18" r:id="rId7"/>
    <sheet name="Comp 04" sheetId="19" r:id="rId8"/>
    <sheet name="Comp 05" sheetId="20" r:id="rId9"/>
    <sheet name="Comp 06" sheetId="21" r:id="rId10"/>
    <sheet name="Comp 07" sheetId="22" r:id="rId11"/>
    <sheet name="Comp 08" sheetId="23" r:id="rId12"/>
    <sheet name="Cotação" sheetId="16" r:id="rId13"/>
  </sheets>
  <externalReferences>
    <externalReference r:id="rId14"/>
  </externalReferences>
  <definedNames>
    <definedName name="_xlnm._FilterDatabase" localSheetId="2" hidden="1">'Físico-Financeiro'!$A$7:$D$7</definedName>
    <definedName name="_xlnm._FilterDatabase" localSheetId="1" hidden="1">Planilha!$A$8:$D$9</definedName>
    <definedName name="_xlnm._FilterDatabase" localSheetId="0" hidden="1">Resumo!$A$7:$D$7</definedName>
    <definedName name="_xlnm.Print_Area" localSheetId="5">'Comp 02'!$A$1:$G$24</definedName>
    <definedName name="_xlnm.Print_Area" localSheetId="12">Cotação!$A$1:$D$24</definedName>
    <definedName name="_xlnm.Print_Area" localSheetId="3">'Memória de Calculo'!$A$1:$E$169</definedName>
    <definedName name="_xlnm.Print_Area" localSheetId="1">Planilha!$A$1:$H$172</definedName>
    <definedName name="_xlnm.Print_Titles" localSheetId="2">'Físico-Financeiro'!$1:$7</definedName>
    <definedName name="_xlnm.Print_Titles" localSheetId="3">'Memória de Calculo'!$1:$8</definedName>
    <definedName name="_xlnm.Print_Titles" localSheetId="1">Planilha!$1:$9</definedName>
    <definedName name="_xlnm.Print_Titles" localSheetId="0">Resumo!$1:$7</definedName>
  </definedNames>
  <calcPr calcId="179017"/>
</workbook>
</file>

<file path=xl/calcChain.xml><?xml version="1.0" encoding="utf-8"?>
<calcChain xmlns="http://schemas.openxmlformats.org/spreadsheetml/2006/main">
  <c r="E155" i="1" l="1"/>
  <c r="E7" i="23" l="1"/>
  <c r="E10" i="23" l="1"/>
  <c r="G10" i="23" s="1"/>
  <c r="G7" i="23"/>
  <c r="E6" i="23"/>
  <c r="G6" i="23" s="1"/>
  <c r="E9" i="23"/>
  <c r="G9" i="23" s="1"/>
  <c r="E8" i="23"/>
  <c r="G8" i="23"/>
  <c r="C33" i="12"/>
  <c r="B33" i="12"/>
  <c r="A33" i="12"/>
  <c r="C32" i="12"/>
  <c r="B32" i="12"/>
  <c r="A32" i="12"/>
  <c r="E10" i="22"/>
  <c r="G10" i="22" s="1"/>
  <c r="E11" i="22"/>
  <c r="G11" i="22" s="1"/>
  <c r="E7" i="22"/>
  <c r="G14" i="22"/>
  <c r="G13" i="22"/>
  <c r="G12" i="22"/>
  <c r="G9" i="22"/>
  <c r="G8" i="22"/>
  <c r="G7" i="22"/>
  <c r="G6" i="22"/>
  <c r="G11" i="23" l="1"/>
  <c r="J34" i="1" s="1"/>
  <c r="I34" i="1" s="1"/>
  <c r="F34" i="1" s="1"/>
  <c r="G34" i="1" s="1"/>
  <c r="G15" i="22"/>
  <c r="J33" i="1" s="1"/>
  <c r="I33" i="1" s="1"/>
  <c r="F33" i="1" s="1"/>
  <c r="G33" i="1" s="1"/>
  <c r="F15" i="21"/>
  <c r="G15" i="21" s="1"/>
  <c r="F14" i="21"/>
  <c r="F13" i="21"/>
  <c r="F12" i="21"/>
  <c r="G12" i="21" s="1"/>
  <c r="G26" i="21"/>
  <c r="G25" i="21"/>
  <c r="G24" i="21"/>
  <c r="G23" i="21"/>
  <c r="G22" i="21"/>
  <c r="G21" i="21"/>
  <c r="G20" i="21"/>
  <c r="G19" i="21"/>
  <c r="G18" i="21"/>
  <c r="G17" i="21"/>
  <c r="G16" i="21"/>
  <c r="G14" i="21"/>
  <c r="G13" i="21"/>
  <c r="G11" i="21"/>
  <c r="G10" i="21"/>
  <c r="G9" i="21"/>
  <c r="G8" i="21"/>
  <c r="G7" i="21"/>
  <c r="G6" i="21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6" i="20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17" i="17"/>
  <c r="G16" i="17"/>
  <c r="G15" i="17"/>
  <c r="G14" i="17"/>
  <c r="G13" i="17"/>
  <c r="G12" i="17"/>
  <c r="G11" i="17"/>
  <c r="G10" i="17"/>
  <c r="G9" i="17"/>
  <c r="G8" i="17"/>
  <c r="G7" i="17"/>
  <c r="G6" i="17"/>
  <c r="G27" i="21" l="1"/>
  <c r="J41" i="1" s="1"/>
  <c r="G32" i="20"/>
  <c r="J40" i="1" s="1"/>
  <c r="G23" i="19"/>
  <c r="J39" i="1" s="1"/>
  <c r="G20" i="18"/>
  <c r="J38" i="1" s="1"/>
  <c r="G18" i="17"/>
  <c r="J37" i="1" s="1"/>
  <c r="D76" i="12"/>
  <c r="D74" i="12"/>
  <c r="D31" i="12"/>
  <c r="E32" i="1" s="1"/>
  <c r="D28" i="12"/>
  <c r="E29" i="1" s="1"/>
  <c r="D18" i="16"/>
  <c r="J152" i="1" s="1"/>
  <c r="N29" i="1" l="1"/>
  <c r="N31" i="1" s="1"/>
  <c r="C25" i="12"/>
  <c r="B25" i="12"/>
  <c r="A25" i="12"/>
  <c r="N26" i="1"/>
  <c r="N25" i="1"/>
  <c r="N24" i="1"/>
  <c r="N21" i="1"/>
  <c r="N22" i="1" s="1"/>
  <c r="N20" i="1"/>
  <c r="N19" i="1"/>
  <c r="H42" i="13"/>
  <c r="L100" i="1"/>
  <c r="L20" i="1"/>
  <c r="I163" i="1"/>
  <c r="I162" i="1"/>
  <c r="F162" i="1" s="1"/>
  <c r="I161" i="1"/>
  <c r="F161" i="1" s="1"/>
  <c r="I160" i="1"/>
  <c r="F160" i="1" s="1"/>
  <c r="I159" i="1"/>
  <c r="I158" i="1"/>
  <c r="I157" i="1"/>
  <c r="F157" i="1" s="1"/>
  <c r="I156" i="1"/>
  <c r="F156" i="1" s="1"/>
  <c r="I155" i="1"/>
  <c r="F155" i="1" s="1"/>
  <c r="I154" i="1"/>
  <c r="F154" i="1" s="1"/>
  <c r="I153" i="1"/>
  <c r="F153" i="1" s="1"/>
  <c r="I152" i="1"/>
  <c r="F152" i="1" s="1"/>
  <c r="I151" i="1"/>
  <c r="F151" i="1" s="1"/>
  <c r="I150" i="1"/>
  <c r="F150" i="1" s="1"/>
  <c r="I149" i="1"/>
  <c r="F149" i="1" s="1"/>
  <c r="I148" i="1"/>
  <c r="F148" i="1" s="1"/>
  <c r="I147" i="1"/>
  <c r="F147" i="1" s="1"/>
  <c r="I146" i="1"/>
  <c r="F146" i="1" s="1"/>
  <c r="I145" i="1"/>
  <c r="F145" i="1" s="1"/>
  <c r="I144" i="1"/>
  <c r="F144" i="1" s="1"/>
  <c r="I143" i="1"/>
  <c r="F143" i="1" s="1"/>
  <c r="I142" i="1"/>
  <c r="F142" i="1" s="1"/>
  <c r="I141" i="1"/>
  <c r="F141" i="1" s="1"/>
  <c r="I140" i="1"/>
  <c r="F140" i="1" s="1"/>
  <c r="I139" i="1"/>
  <c r="F139" i="1" s="1"/>
  <c r="I138" i="1"/>
  <c r="F138" i="1" s="1"/>
  <c r="I137" i="1"/>
  <c r="F137" i="1" s="1"/>
  <c r="I136" i="1"/>
  <c r="F136" i="1" s="1"/>
  <c r="I135" i="1"/>
  <c r="F135" i="1" s="1"/>
  <c r="I134" i="1"/>
  <c r="F134" i="1" s="1"/>
  <c r="I133" i="1"/>
  <c r="F133" i="1" s="1"/>
  <c r="I132" i="1"/>
  <c r="F132" i="1" s="1"/>
  <c r="I131" i="1"/>
  <c r="F131" i="1" s="1"/>
  <c r="I130" i="1"/>
  <c r="F130" i="1" s="1"/>
  <c r="I129" i="1"/>
  <c r="F129" i="1" s="1"/>
  <c r="I128" i="1"/>
  <c r="F128" i="1" s="1"/>
  <c r="I127" i="1"/>
  <c r="F127" i="1" s="1"/>
  <c r="I126" i="1"/>
  <c r="F126" i="1" s="1"/>
  <c r="I125" i="1"/>
  <c r="F125" i="1" s="1"/>
  <c r="I124" i="1"/>
  <c r="F124" i="1" s="1"/>
  <c r="I123" i="1"/>
  <c r="F123" i="1" s="1"/>
  <c r="I122" i="1"/>
  <c r="F122" i="1" s="1"/>
  <c r="I121" i="1"/>
  <c r="F121" i="1" s="1"/>
  <c r="I120" i="1"/>
  <c r="F120" i="1" s="1"/>
  <c r="I119" i="1"/>
  <c r="F119" i="1" s="1"/>
  <c r="I118" i="1"/>
  <c r="F118" i="1" s="1"/>
  <c r="I117" i="1"/>
  <c r="F117" i="1" s="1"/>
  <c r="I116" i="1"/>
  <c r="F116" i="1" s="1"/>
  <c r="I115" i="1"/>
  <c r="F115" i="1" s="1"/>
  <c r="I114" i="1"/>
  <c r="F114" i="1" s="1"/>
  <c r="I113" i="1"/>
  <c r="F113" i="1" s="1"/>
  <c r="I112" i="1"/>
  <c r="F112" i="1" s="1"/>
  <c r="I111" i="1"/>
  <c r="F111" i="1" s="1"/>
  <c r="I110" i="1"/>
  <c r="F110" i="1" s="1"/>
  <c r="I109" i="1"/>
  <c r="F109" i="1" s="1"/>
  <c r="I108" i="1"/>
  <c r="F108" i="1" s="1"/>
  <c r="I107" i="1"/>
  <c r="F107" i="1" s="1"/>
  <c r="I106" i="1"/>
  <c r="F106" i="1" s="1"/>
  <c r="I105" i="1"/>
  <c r="F105" i="1" s="1"/>
  <c r="I104" i="1"/>
  <c r="F104" i="1" s="1"/>
  <c r="I103" i="1"/>
  <c r="F103" i="1" s="1"/>
  <c r="I101" i="1"/>
  <c r="F101" i="1" s="1"/>
  <c r="I99" i="1"/>
  <c r="F99" i="1" s="1"/>
  <c r="I98" i="1"/>
  <c r="F98" i="1" s="1"/>
  <c r="I97" i="1"/>
  <c r="F97" i="1" s="1"/>
  <c r="I96" i="1"/>
  <c r="F96" i="1" s="1"/>
  <c r="I95" i="1"/>
  <c r="F95" i="1" s="1"/>
  <c r="I94" i="1"/>
  <c r="F94" i="1" s="1"/>
  <c r="I93" i="1"/>
  <c r="F93" i="1" s="1"/>
  <c r="I92" i="1"/>
  <c r="F92" i="1" s="1"/>
  <c r="I91" i="1"/>
  <c r="F91" i="1" s="1"/>
  <c r="I90" i="1"/>
  <c r="F90" i="1" s="1"/>
  <c r="I89" i="1"/>
  <c r="F89" i="1" s="1"/>
  <c r="I88" i="1"/>
  <c r="F88" i="1" s="1"/>
  <c r="I87" i="1"/>
  <c r="F87" i="1" s="1"/>
  <c r="I86" i="1"/>
  <c r="F86" i="1" s="1"/>
  <c r="I85" i="1"/>
  <c r="F85" i="1" s="1"/>
  <c r="I84" i="1"/>
  <c r="F84" i="1" s="1"/>
  <c r="I83" i="1"/>
  <c r="F83" i="1" s="1"/>
  <c r="I82" i="1"/>
  <c r="F82" i="1" s="1"/>
  <c r="I81" i="1"/>
  <c r="F81" i="1" s="1"/>
  <c r="I80" i="1"/>
  <c r="F80" i="1" s="1"/>
  <c r="I79" i="1"/>
  <c r="F79" i="1" s="1"/>
  <c r="I78" i="1"/>
  <c r="F78" i="1" s="1"/>
  <c r="I77" i="1"/>
  <c r="F77" i="1" s="1"/>
  <c r="I76" i="1"/>
  <c r="F76" i="1" s="1"/>
  <c r="I75" i="1"/>
  <c r="F75" i="1" s="1"/>
  <c r="I74" i="1"/>
  <c r="F74" i="1" s="1"/>
  <c r="I73" i="1"/>
  <c r="F73" i="1" s="1"/>
  <c r="I72" i="1"/>
  <c r="F72" i="1" s="1"/>
  <c r="I71" i="1"/>
  <c r="F71" i="1" s="1"/>
  <c r="I70" i="1"/>
  <c r="F70" i="1" s="1"/>
  <c r="I69" i="1"/>
  <c r="F69" i="1" s="1"/>
  <c r="I68" i="1"/>
  <c r="F68" i="1" s="1"/>
  <c r="I67" i="1"/>
  <c r="F67" i="1" s="1"/>
  <c r="I66" i="1"/>
  <c r="F66" i="1" s="1"/>
  <c r="I65" i="1"/>
  <c r="F65" i="1" s="1"/>
  <c r="I64" i="1"/>
  <c r="F64" i="1" s="1"/>
  <c r="I63" i="1"/>
  <c r="F63" i="1" s="1"/>
  <c r="I62" i="1"/>
  <c r="F62" i="1" s="1"/>
  <c r="I61" i="1"/>
  <c r="F61" i="1" s="1"/>
  <c r="I60" i="1"/>
  <c r="F60" i="1" s="1"/>
  <c r="I59" i="1"/>
  <c r="F59" i="1" s="1"/>
  <c r="I58" i="1"/>
  <c r="F58" i="1" s="1"/>
  <c r="I57" i="1"/>
  <c r="F57" i="1" s="1"/>
  <c r="I56" i="1"/>
  <c r="F56" i="1" s="1"/>
  <c r="I55" i="1"/>
  <c r="F55" i="1" s="1"/>
  <c r="I54" i="1"/>
  <c r="F54" i="1" s="1"/>
  <c r="I53" i="1"/>
  <c r="F53" i="1" s="1"/>
  <c r="I52" i="1"/>
  <c r="F52" i="1" s="1"/>
  <c r="I51" i="1"/>
  <c r="F51" i="1" s="1"/>
  <c r="I50" i="1"/>
  <c r="F50" i="1" s="1"/>
  <c r="I49" i="1"/>
  <c r="F49" i="1" s="1"/>
  <c r="I48" i="1"/>
  <c r="F48" i="1" s="1"/>
  <c r="I47" i="1"/>
  <c r="F47" i="1" s="1"/>
  <c r="I46" i="1"/>
  <c r="F46" i="1" s="1"/>
  <c r="I45" i="1"/>
  <c r="F45" i="1" s="1"/>
  <c r="I44" i="1"/>
  <c r="I43" i="1"/>
  <c r="I42" i="1"/>
  <c r="I41" i="1"/>
  <c r="F41" i="1" s="1"/>
  <c r="I40" i="1"/>
  <c r="F40" i="1" s="1"/>
  <c r="I39" i="1"/>
  <c r="F39" i="1" s="1"/>
  <c r="I38" i="1"/>
  <c r="F38" i="1" s="1"/>
  <c r="I37" i="1"/>
  <c r="F37" i="1" s="1"/>
  <c r="I36" i="1"/>
  <c r="I35" i="1"/>
  <c r="I32" i="1"/>
  <c r="F32" i="1" s="1"/>
  <c r="I31" i="1"/>
  <c r="F31" i="1" s="1"/>
  <c r="I30" i="1"/>
  <c r="F30" i="1" s="1"/>
  <c r="I29" i="1"/>
  <c r="F29" i="1" s="1"/>
  <c r="I28" i="1"/>
  <c r="I27" i="1"/>
  <c r="I26" i="1"/>
  <c r="F26" i="1" s="1"/>
  <c r="I25" i="1"/>
  <c r="F25" i="1" s="1"/>
  <c r="I24" i="1"/>
  <c r="F24" i="1" s="1"/>
  <c r="I23" i="1"/>
  <c r="F23" i="1" s="1"/>
  <c r="I22" i="1"/>
  <c r="F22" i="1" s="1"/>
  <c r="I21" i="1"/>
  <c r="F21" i="1" s="1"/>
  <c r="I19" i="1"/>
  <c r="F19" i="1" s="1"/>
  <c r="I18" i="1"/>
  <c r="I17" i="1"/>
  <c r="I16" i="1"/>
  <c r="I15" i="1"/>
  <c r="I14" i="1"/>
  <c r="I13" i="1"/>
  <c r="I12" i="1"/>
  <c r="F12" i="1" s="1"/>
  <c r="N30" i="1" l="1"/>
  <c r="A166" i="1"/>
  <c r="A18" i="2" s="1"/>
  <c r="B29" i="3"/>
  <c r="B28" i="3"/>
  <c r="B22" i="2"/>
  <c r="B21" i="2"/>
  <c r="D134" i="12" l="1"/>
  <c r="D135" i="12" s="1"/>
  <c r="E138" i="1" s="1"/>
  <c r="D133" i="12"/>
  <c r="E136" i="1" s="1"/>
  <c r="D158" i="12"/>
  <c r="D159" i="12" s="1"/>
  <c r="E160" i="1"/>
  <c r="E157" i="1"/>
  <c r="E156" i="1"/>
  <c r="E154" i="1"/>
  <c r="E153" i="1"/>
  <c r="E151" i="1"/>
  <c r="E150" i="1"/>
  <c r="E149" i="1"/>
  <c r="E148" i="1"/>
  <c r="E143" i="1"/>
  <c r="E142" i="1"/>
  <c r="E141" i="1"/>
  <c r="E140" i="1"/>
  <c r="G140" i="1" s="1"/>
  <c r="E139" i="1"/>
  <c r="G139" i="1" s="1"/>
  <c r="C137" i="12"/>
  <c r="B137" i="12"/>
  <c r="A137" i="12"/>
  <c r="C136" i="12"/>
  <c r="B136" i="12"/>
  <c r="A136" i="12"/>
  <c r="D131" i="12"/>
  <c r="E134" i="1" s="1"/>
  <c r="D130" i="12"/>
  <c r="E133" i="1" s="1"/>
  <c r="D126" i="12"/>
  <c r="E129" i="1" s="1"/>
  <c r="E132" i="1"/>
  <c r="E128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D123" i="12"/>
  <c r="E126" i="1" s="1"/>
  <c r="D121" i="12"/>
  <c r="D122" i="12" s="1"/>
  <c r="E125" i="1" s="1"/>
  <c r="D107" i="12"/>
  <c r="E110" i="1" s="1"/>
  <c r="C105" i="12"/>
  <c r="D105" i="12"/>
  <c r="E107" i="1" s="1"/>
  <c r="D104" i="12"/>
  <c r="E106" i="1" s="1"/>
  <c r="D100" i="12"/>
  <c r="E101" i="1" s="1"/>
  <c r="E80" i="1"/>
  <c r="E81" i="1"/>
  <c r="E77" i="1"/>
  <c r="E76" i="1"/>
  <c r="D72" i="12"/>
  <c r="E73" i="1" s="1"/>
  <c r="D70" i="12"/>
  <c r="E71" i="1" s="1"/>
  <c r="D68" i="12"/>
  <c r="E69" i="1" s="1"/>
  <c r="D66" i="12"/>
  <c r="E67" i="1" s="1"/>
  <c r="D63" i="12"/>
  <c r="E64" i="1" s="1"/>
  <c r="D64" i="12"/>
  <c r="E65" i="1" s="1"/>
  <c r="D60" i="12"/>
  <c r="E61" i="1" s="1"/>
  <c r="A60" i="12"/>
  <c r="D53" i="12"/>
  <c r="D54" i="12" s="1"/>
  <c r="E55" i="1" s="1"/>
  <c r="E54" i="12"/>
  <c r="D49" i="12"/>
  <c r="E50" i="1" s="1"/>
  <c r="E108" i="1"/>
  <c r="E105" i="1"/>
  <c r="E104" i="1"/>
  <c r="E103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79" i="1"/>
  <c r="E78" i="1"/>
  <c r="E75" i="1"/>
  <c r="E74" i="1"/>
  <c r="E72" i="1"/>
  <c r="E70" i="1"/>
  <c r="E68" i="1"/>
  <c r="E66" i="1"/>
  <c r="E63" i="1"/>
  <c r="E62" i="1"/>
  <c r="E60" i="1"/>
  <c r="E59" i="1"/>
  <c r="E58" i="1"/>
  <c r="E57" i="1"/>
  <c r="E56" i="1"/>
  <c r="E53" i="1"/>
  <c r="E52" i="1"/>
  <c r="E51" i="1"/>
  <c r="E49" i="1"/>
  <c r="E48" i="1"/>
  <c r="E47" i="1"/>
  <c r="E46" i="1"/>
  <c r="E45" i="1"/>
  <c r="C159" i="12"/>
  <c r="B159" i="12"/>
  <c r="A159" i="12"/>
  <c r="C158" i="12"/>
  <c r="B158" i="12"/>
  <c r="A158" i="12"/>
  <c r="C157" i="12"/>
  <c r="B157" i="12"/>
  <c r="A157" i="12"/>
  <c r="B156" i="12"/>
  <c r="A156" i="12"/>
  <c r="C154" i="12"/>
  <c r="B154" i="12"/>
  <c r="A154" i="12"/>
  <c r="B153" i="12"/>
  <c r="A153" i="12"/>
  <c r="C152" i="12"/>
  <c r="B152" i="12"/>
  <c r="A152" i="12"/>
  <c r="B151" i="12"/>
  <c r="A151" i="12"/>
  <c r="B150" i="12"/>
  <c r="A150" i="12"/>
  <c r="B149" i="12"/>
  <c r="A149" i="12"/>
  <c r="B148" i="12"/>
  <c r="A148" i="12"/>
  <c r="B147" i="12"/>
  <c r="A147" i="12"/>
  <c r="C146" i="12"/>
  <c r="B146" i="12"/>
  <c r="A146" i="12"/>
  <c r="B145" i="12"/>
  <c r="A145" i="12"/>
  <c r="C144" i="12"/>
  <c r="B144" i="12"/>
  <c r="A144" i="12"/>
  <c r="C143" i="12"/>
  <c r="B143" i="12"/>
  <c r="A143" i="12"/>
  <c r="C142" i="12"/>
  <c r="B142" i="12"/>
  <c r="A142" i="12"/>
  <c r="C141" i="12"/>
  <c r="B141" i="12"/>
  <c r="A141" i="12"/>
  <c r="B140" i="12"/>
  <c r="A140" i="12"/>
  <c r="C139" i="12"/>
  <c r="B139" i="12"/>
  <c r="A139" i="12"/>
  <c r="B138" i="12"/>
  <c r="A138" i="12"/>
  <c r="C135" i="12"/>
  <c r="B135" i="12"/>
  <c r="A135" i="12"/>
  <c r="C134" i="12"/>
  <c r="B134" i="12"/>
  <c r="A134" i="12"/>
  <c r="C133" i="12"/>
  <c r="B133" i="12"/>
  <c r="A133" i="12"/>
  <c r="B132" i="12"/>
  <c r="A132" i="12"/>
  <c r="C131" i="12"/>
  <c r="B131" i="12"/>
  <c r="A131" i="12"/>
  <c r="C130" i="12"/>
  <c r="B130" i="12"/>
  <c r="A130" i="12"/>
  <c r="B129" i="12"/>
  <c r="A129" i="12"/>
  <c r="C128" i="12"/>
  <c r="B128" i="12"/>
  <c r="A128" i="12"/>
  <c r="C127" i="12"/>
  <c r="B127" i="12"/>
  <c r="A127" i="12"/>
  <c r="C126" i="12"/>
  <c r="B126" i="12"/>
  <c r="A126" i="12"/>
  <c r="B125" i="12"/>
  <c r="A125" i="12"/>
  <c r="C124" i="12"/>
  <c r="B124" i="12"/>
  <c r="A124" i="12"/>
  <c r="C123" i="12"/>
  <c r="B123" i="12"/>
  <c r="A123" i="12"/>
  <c r="C122" i="12"/>
  <c r="B122" i="12"/>
  <c r="A122" i="12"/>
  <c r="C121" i="12"/>
  <c r="B121" i="12"/>
  <c r="A121" i="12"/>
  <c r="B120" i="12"/>
  <c r="A120" i="12"/>
  <c r="B119" i="12"/>
  <c r="A119" i="12"/>
  <c r="B118" i="12"/>
  <c r="A118" i="12"/>
  <c r="C117" i="12"/>
  <c r="B117" i="12"/>
  <c r="A117" i="12"/>
  <c r="B116" i="12"/>
  <c r="A116" i="12"/>
  <c r="B115" i="12"/>
  <c r="A115" i="12"/>
  <c r="C114" i="12"/>
  <c r="B114" i="12"/>
  <c r="A114" i="12"/>
  <c r="C113" i="12"/>
  <c r="B113" i="12"/>
  <c r="A113" i="12"/>
  <c r="C112" i="12"/>
  <c r="B112" i="12"/>
  <c r="A112" i="12"/>
  <c r="C111" i="12"/>
  <c r="B111" i="12"/>
  <c r="A111" i="12"/>
  <c r="B110" i="12"/>
  <c r="A110" i="12"/>
  <c r="C109" i="12"/>
  <c r="B109" i="12"/>
  <c r="A109" i="12"/>
  <c r="C108" i="12"/>
  <c r="B108" i="12"/>
  <c r="A108" i="12"/>
  <c r="C107" i="12"/>
  <c r="B107" i="12"/>
  <c r="A107" i="12"/>
  <c r="B106" i="12"/>
  <c r="A106" i="12"/>
  <c r="B105" i="12"/>
  <c r="A105" i="12"/>
  <c r="C104" i="12"/>
  <c r="B104" i="12"/>
  <c r="A104" i="12"/>
  <c r="C103" i="12"/>
  <c r="B103" i="12"/>
  <c r="A103" i="12"/>
  <c r="C102" i="12"/>
  <c r="B102" i="12"/>
  <c r="A102" i="12"/>
  <c r="C101" i="12"/>
  <c r="B101" i="12"/>
  <c r="A101" i="12"/>
  <c r="C100" i="12"/>
  <c r="B100" i="12"/>
  <c r="A100" i="12"/>
  <c r="B99" i="12"/>
  <c r="A99" i="12"/>
  <c r="C98" i="12"/>
  <c r="B98" i="12"/>
  <c r="A98" i="12"/>
  <c r="B97" i="12"/>
  <c r="A97" i="12"/>
  <c r="C96" i="12"/>
  <c r="B96" i="12"/>
  <c r="A96" i="12"/>
  <c r="C95" i="12"/>
  <c r="B95" i="12"/>
  <c r="A95" i="12"/>
  <c r="C94" i="12"/>
  <c r="B94" i="12"/>
  <c r="A94" i="12"/>
  <c r="B93" i="12"/>
  <c r="A93" i="12"/>
  <c r="B92" i="12"/>
  <c r="A92" i="12"/>
  <c r="B91" i="12"/>
  <c r="A91" i="12"/>
  <c r="C90" i="12"/>
  <c r="B90" i="12"/>
  <c r="A90" i="12"/>
  <c r="C89" i="12"/>
  <c r="B89" i="12"/>
  <c r="A89" i="12"/>
  <c r="C88" i="12"/>
  <c r="B88" i="12"/>
  <c r="A88" i="12"/>
  <c r="C87" i="12"/>
  <c r="B87" i="12"/>
  <c r="A87" i="12"/>
  <c r="B86" i="12"/>
  <c r="A86" i="12"/>
  <c r="B85" i="12"/>
  <c r="A85" i="12"/>
  <c r="B84" i="12"/>
  <c r="A84" i="12"/>
  <c r="B83" i="12"/>
  <c r="A83" i="12"/>
  <c r="B82" i="12"/>
  <c r="A82" i="12"/>
  <c r="B81" i="12"/>
  <c r="A81" i="12"/>
  <c r="B80" i="12"/>
  <c r="A80" i="12"/>
  <c r="B79" i="12"/>
  <c r="A79" i="12"/>
  <c r="B78" i="12"/>
  <c r="A78" i="12"/>
  <c r="B77" i="12"/>
  <c r="A77" i="12"/>
  <c r="C76" i="12"/>
  <c r="B76" i="12"/>
  <c r="A76" i="12"/>
  <c r="C75" i="12"/>
  <c r="B75" i="12"/>
  <c r="A75" i="12"/>
  <c r="C74" i="12"/>
  <c r="B74" i="12"/>
  <c r="A74" i="12"/>
  <c r="B73" i="12"/>
  <c r="A73" i="12"/>
  <c r="B72" i="12"/>
  <c r="A72" i="12"/>
  <c r="C71" i="12"/>
  <c r="B71" i="12"/>
  <c r="A71" i="12"/>
  <c r="C70" i="12"/>
  <c r="B70" i="12"/>
  <c r="A70" i="12"/>
  <c r="C69" i="12"/>
  <c r="B69" i="12"/>
  <c r="A69" i="12"/>
  <c r="C68" i="12"/>
  <c r="B68" i="12"/>
  <c r="A68" i="12"/>
  <c r="B67" i="12"/>
  <c r="A67" i="12"/>
  <c r="C66" i="12"/>
  <c r="B66" i="12"/>
  <c r="A66" i="12"/>
  <c r="B65" i="12"/>
  <c r="A65" i="12"/>
  <c r="C64" i="12"/>
  <c r="B64" i="12"/>
  <c r="A64" i="12"/>
  <c r="C63" i="12"/>
  <c r="B63" i="12"/>
  <c r="A63" i="12"/>
  <c r="C62" i="12"/>
  <c r="B62" i="12"/>
  <c r="A62" i="12"/>
  <c r="B61" i="12"/>
  <c r="A61" i="12"/>
  <c r="C60" i="12"/>
  <c r="B60" i="12"/>
  <c r="C59" i="12"/>
  <c r="B59" i="12"/>
  <c r="A59" i="12"/>
  <c r="C58" i="12"/>
  <c r="B58" i="12"/>
  <c r="A58" i="12"/>
  <c r="C57" i="12"/>
  <c r="B57" i="12"/>
  <c r="A57" i="12"/>
  <c r="C56" i="12"/>
  <c r="B56" i="12"/>
  <c r="A56" i="12"/>
  <c r="B55" i="12"/>
  <c r="A55" i="12"/>
  <c r="C54" i="12"/>
  <c r="B54" i="12"/>
  <c r="A54" i="12"/>
  <c r="C53" i="12"/>
  <c r="B53" i="12"/>
  <c r="A53" i="12"/>
  <c r="C52" i="12"/>
  <c r="B52" i="12"/>
  <c r="A52" i="12"/>
  <c r="C51" i="12"/>
  <c r="B51" i="12"/>
  <c r="A51" i="12"/>
  <c r="C50" i="12"/>
  <c r="B50" i="12"/>
  <c r="A50" i="12"/>
  <c r="C49" i="12"/>
  <c r="C47" i="12"/>
  <c r="C46" i="12"/>
  <c r="C45" i="12"/>
  <c r="C44" i="12"/>
  <c r="B47" i="12"/>
  <c r="B46" i="12"/>
  <c r="B45" i="12"/>
  <c r="B44" i="12"/>
  <c r="B43" i="12"/>
  <c r="A47" i="12"/>
  <c r="A46" i="12"/>
  <c r="A45" i="12"/>
  <c r="A44" i="12"/>
  <c r="A43" i="12"/>
  <c r="B42" i="12"/>
  <c r="A42" i="12"/>
  <c r="D40" i="12"/>
  <c r="D39" i="12"/>
  <c r="D38" i="12"/>
  <c r="D37" i="12"/>
  <c r="D36" i="12"/>
  <c r="C40" i="12"/>
  <c r="C39" i="12"/>
  <c r="C38" i="12"/>
  <c r="C37" i="12"/>
  <c r="C36" i="12"/>
  <c r="B40" i="12"/>
  <c r="B39" i="12"/>
  <c r="B38" i="12"/>
  <c r="B37" i="12"/>
  <c r="B36" i="12"/>
  <c r="A40" i="12"/>
  <c r="A39" i="12"/>
  <c r="A38" i="12"/>
  <c r="A37" i="12"/>
  <c r="A36" i="12"/>
  <c r="E162" i="1" l="1"/>
  <c r="E137" i="1"/>
  <c r="E161" i="1"/>
  <c r="D124" i="12"/>
  <c r="E127" i="1" s="1"/>
  <c r="D127" i="12"/>
  <c r="D144" i="12"/>
  <c r="E147" i="1" s="1"/>
  <c r="D141" i="12"/>
  <c r="E124" i="1"/>
  <c r="E54" i="1"/>
  <c r="B15" i="3"/>
  <c r="E130" i="1" l="1"/>
  <c r="D128" i="12"/>
  <c r="E131" i="1" s="1"/>
  <c r="E144" i="1"/>
  <c r="D142" i="12"/>
  <c r="B14" i="2"/>
  <c r="B13" i="2"/>
  <c r="B12" i="2"/>
  <c r="B11" i="2"/>
  <c r="B10" i="2"/>
  <c r="B9" i="2"/>
  <c r="B8" i="2"/>
  <c r="G162" i="1"/>
  <c r="G161" i="1"/>
  <c r="G160" i="1"/>
  <c r="G134" i="1"/>
  <c r="G107" i="1"/>
  <c r="G105" i="1"/>
  <c r="G104" i="1"/>
  <c r="G103" i="1"/>
  <c r="G101" i="1"/>
  <c r="G97" i="1"/>
  <c r="G70" i="1"/>
  <c r="E145" i="1" l="1"/>
  <c r="D143" i="12"/>
  <c r="E146" i="1" s="1"/>
  <c r="G163" i="1"/>
  <c r="G106" i="1"/>
  <c r="G65" i="1"/>
  <c r="G64" i="1"/>
  <c r="G61" i="1"/>
  <c r="G55" i="1"/>
  <c r="H162" i="1" l="1"/>
  <c r="C14" i="2"/>
  <c r="C15" i="3" s="1"/>
  <c r="H160" i="1"/>
  <c r="H161" i="1"/>
  <c r="G26" i="1"/>
  <c r="F41" i="13"/>
  <c r="H41" i="13" s="1"/>
  <c r="Q15" i="3" l="1"/>
  <c r="N15" i="3"/>
  <c r="T15" i="3"/>
  <c r="K15" i="3"/>
  <c r="H15" i="3"/>
  <c r="E15" i="3"/>
  <c r="B14" i="3"/>
  <c r="B13" i="3"/>
  <c r="B11" i="3"/>
  <c r="G155" i="1"/>
  <c r="G154" i="1"/>
  <c r="G152" i="1"/>
  <c r="G147" i="1"/>
  <c r="G146" i="1"/>
  <c r="G145" i="1"/>
  <c r="G144" i="1"/>
  <c r="G142" i="1"/>
  <c r="G138" i="1"/>
  <c r="G137" i="1"/>
  <c r="G136" i="1"/>
  <c r="G133" i="1"/>
  <c r="G131" i="1"/>
  <c r="G130" i="1"/>
  <c r="G129" i="1"/>
  <c r="G127" i="1"/>
  <c r="G126" i="1"/>
  <c r="G124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99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3" i="1"/>
  <c r="G72" i="1"/>
  <c r="G71" i="1"/>
  <c r="G69" i="1"/>
  <c r="G67" i="1"/>
  <c r="G63" i="1"/>
  <c r="G60" i="1"/>
  <c r="G59" i="1"/>
  <c r="G58" i="1"/>
  <c r="G57" i="1"/>
  <c r="G54" i="1"/>
  <c r="G53" i="1"/>
  <c r="G52" i="1"/>
  <c r="G51" i="1"/>
  <c r="G50" i="1"/>
  <c r="G48" i="1"/>
  <c r="G46" i="1"/>
  <c r="G45" i="1"/>
  <c r="G157" i="1"/>
  <c r="D150" i="1"/>
  <c r="G125" i="1"/>
  <c r="D94" i="1"/>
  <c r="C93" i="12" s="1"/>
  <c r="D93" i="1"/>
  <c r="C92" i="12" s="1"/>
  <c r="D92" i="1"/>
  <c r="C91" i="12" s="1"/>
  <c r="D73" i="1"/>
  <c r="G47" i="1"/>
  <c r="D78" i="1" l="1"/>
  <c r="C72" i="12"/>
  <c r="D152" i="1"/>
  <c r="C147" i="12"/>
  <c r="D118" i="1"/>
  <c r="B12" i="3"/>
  <c r="B10" i="3"/>
  <c r="B9" i="3"/>
  <c r="B24" i="12"/>
  <c r="B23" i="12"/>
  <c r="B22" i="12"/>
  <c r="B21" i="12"/>
  <c r="B20" i="12"/>
  <c r="B19" i="12"/>
  <c r="B18" i="12"/>
  <c r="B17" i="12"/>
  <c r="B16" i="12"/>
  <c r="B11" i="12"/>
  <c r="B10" i="12"/>
  <c r="B9" i="12"/>
  <c r="D24" i="12"/>
  <c r="D23" i="12"/>
  <c r="D22" i="12"/>
  <c r="C24" i="12"/>
  <c r="C23" i="12"/>
  <c r="C22" i="12"/>
  <c r="A24" i="12"/>
  <c r="A23" i="12"/>
  <c r="A22" i="12"/>
  <c r="A21" i="12"/>
  <c r="A20" i="12"/>
  <c r="A19" i="12"/>
  <c r="C21" i="12"/>
  <c r="C20" i="12"/>
  <c r="C19" i="12"/>
  <c r="D119" i="1" l="1"/>
  <c r="C115" i="12"/>
  <c r="D79" i="1"/>
  <c r="C77" i="12"/>
  <c r="D154" i="1"/>
  <c r="C151" i="12" s="1"/>
  <c r="C149" i="12"/>
  <c r="D29" i="12"/>
  <c r="E30" i="1" s="1"/>
  <c r="G25" i="1"/>
  <c r="G24" i="1"/>
  <c r="G23" i="1"/>
  <c r="I11" i="1"/>
  <c r="F11" i="1" s="1"/>
  <c r="D19" i="12"/>
  <c r="D80" i="1" l="1"/>
  <c r="C78" i="12"/>
  <c r="D121" i="1"/>
  <c r="C116" i="12"/>
  <c r="D30" i="12"/>
  <c r="E31" i="1" s="1"/>
  <c r="G21" i="1"/>
  <c r="D20" i="12"/>
  <c r="D81" i="1" l="1"/>
  <c r="C79" i="12"/>
  <c r="D122" i="1"/>
  <c r="C119" i="12" s="1"/>
  <c r="C118" i="12"/>
  <c r="D21" i="12"/>
  <c r="G22" i="1"/>
  <c r="D82" i="1" l="1"/>
  <c r="D83" i="1" s="1"/>
  <c r="C80" i="12"/>
  <c r="D8" i="16"/>
  <c r="J100" i="1" s="1"/>
  <c r="I100" i="1" s="1"/>
  <c r="F100" i="1" s="1"/>
  <c r="G100" i="1" s="1"/>
  <c r="C81" i="12" l="1"/>
  <c r="G15" i="3"/>
  <c r="J15" i="3" s="1"/>
  <c r="M15" i="3" s="1"/>
  <c r="G14" i="3"/>
  <c r="G13" i="3"/>
  <c r="G12" i="3"/>
  <c r="B49" i="12" l="1"/>
  <c r="A49" i="12"/>
  <c r="B48" i="12"/>
  <c r="A48" i="12"/>
  <c r="B35" i="12"/>
  <c r="A35" i="12"/>
  <c r="C31" i="12"/>
  <c r="B31" i="12"/>
  <c r="A31" i="12"/>
  <c r="C30" i="12"/>
  <c r="B30" i="12"/>
  <c r="A30" i="12"/>
  <c r="C29" i="12"/>
  <c r="B29" i="12"/>
  <c r="A29" i="12"/>
  <c r="C28" i="12"/>
  <c r="B28" i="12"/>
  <c r="A28" i="12"/>
  <c r="D84" i="1" l="1"/>
  <c r="C82" i="12"/>
  <c r="B27" i="12"/>
  <c r="A27" i="12"/>
  <c r="C18" i="12"/>
  <c r="A18" i="12"/>
  <c r="A16" i="12"/>
  <c r="D85" i="1" l="1"/>
  <c r="C83" i="12"/>
  <c r="D18" i="12"/>
  <c r="G19" i="1"/>
  <c r="G37" i="1"/>
  <c r="G38" i="1"/>
  <c r="G41" i="1"/>
  <c r="G39" i="1"/>
  <c r="G40" i="1"/>
  <c r="G30" i="1"/>
  <c r="G31" i="1"/>
  <c r="D86" i="1" l="1"/>
  <c r="C84" i="12"/>
  <c r="G42" i="1"/>
  <c r="G29" i="1"/>
  <c r="J14" i="3"/>
  <c r="M14" i="3" s="1"/>
  <c r="P14" i="3" s="1"/>
  <c r="S14" i="3" s="1"/>
  <c r="V14" i="3" s="1"/>
  <c r="J13" i="3"/>
  <c r="M13" i="3" s="1"/>
  <c r="P13" i="3" s="1"/>
  <c r="S13" i="3" s="1"/>
  <c r="V13" i="3" s="1"/>
  <c r="J12" i="3"/>
  <c r="M12" i="3" s="1"/>
  <c r="P12" i="3" s="1"/>
  <c r="S12" i="3" s="1"/>
  <c r="V12" i="3" s="1"/>
  <c r="G11" i="3"/>
  <c r="J11" i="3" s="1"/>
  <c r="M11" i="3" s="1"/>
  <c r="P11" i="3" s="1"/>
  <c r="S11" i="3" s="1"/>
  <c r="V11" i="3" s="1"/>
  <c r="G10" i="3"/>
  <c r="J10" i="3" s="1"/>
  <c r="M10" i="3" s="1"/>
  <c r="P10" i="3" s="1"/>
  <c r="S10" i="3" s="1"/>
  <c r="V10" i="3" s="1"/>
  <c r="G9" i="3"/>
  <c r="J9" i="3" s="1"/>
  <c r="M9" i="3" s="1"/>
  <c r="P9" i="3" s="1"/>
  <c r="S9" i="3" s="1"/>
  <c r="V9" i="3" s="1"/>
  <c r="A2" i="3"/>
  <c r="A10" i="3"/>
  <c r="A9" i="3"/>
  <c r="H60" i="13"/>
  <c r="H50" i="13"/>
  <c r="H49" i="13"/>
  <c r="H48" i="13"/>
  <c r="H46" i="13"/>
  <c r="H45" i="13"/>
  <c r="H44" i="13"/>
  <c r="H43" i="13"/>
  <c r="H40" i="13"/>
  <c r="H39" i="13"/>
  <c r="H38" i="13"/>
  <c r="G31" i="13"/>
  <c r="H31" i="13" s="1"/>
  <c r="F31" i="13"/>
  <c r="F30" i="13"/>
  <c r="G30" i="13" s="1"/>
  <c r="F29" i="13"/>
  <c r="F28" i="13"/>
  <c r="G28" i="13" s="1"/>
  <c r="H28" i="13" s="1"/>
  <c r="F27" i="13"/>
  <c r="G27" i="13" s="1"/>
  <c r="H27" i="13" s="1"/>
  <c r="F26" i="13"/>
  <c r="G26" i="13" s="1"/>
  <c r="F25" i="13"/>
  <c r="H23" i="13"/>
  <c r="H22" i="13"/>
  <c r="H17" i="13"/>
  <c r="H16" i="13"/>
  <c r="H15" i="13"/>
  <c r="H14" i="13"/>
  <c r="H13" i="13"/>
  <c r="H12" i="13"/>
  <c r="H11" i="13"/>
  <c r="H10" i="13"/>
  <c r="H9" i="13"/>
  <c r="B4" i="13"/>
  <c r="H18" i="13" l="1"/>
  <c r="D87" i="1"/>
  <c r="C85" i="12"/>
  <c r="C12" i="2"/>
  <c r="C13" i="3" s="1"/>
  <c r="H40" i="1"/>
  <c r="H37" i="1"/>
  <c r="H38" i="1"/>
  <c r="H41" i="1"/>
  <c r="H39" i="1"/>
  <c r="P15" i="3"/>
  <c r="S15" i="3" s="1"/>
  <c r="V15" i="3" s="1"/>
  <c r="H51" i="13"/>
  <c r="G25" i="13"/>
  <c r="H25" i="13" s="1"/>
  <c r="H26" i="13"/>
  <c r="G29" i="13"/>
  <c r="H29" i="13" s="1"/>
  <c r="H30" i="13"/>
  <c r="H32" i="13" l="1"/>
  <c r="H33" i="13" s="1"/>
  <c r="H34" i="13" s="1"/>
  <c r="K13" i="3"/>
  <c r="N13" i="3"/>
  <c r="H13" i="3"/>
  <c r="E13" i="3"/>
  <c r="Q13" i="3"/>
  <c r="T13" i="3"/>
  <c r="D100" i="1"/>
  <c r="C86" i="12"/>
  <c r="H62" i="13"/>
  <c r="J20" i="1" s="1"/>
  <c r="I20" i="1" s="1"/>
  <c r="F20" i="1" s="1"/>
  <c r="G20" i="1" s="1"/>
  <c r="G27" i="1" l="1"/>
  <c r="H20" i="1" s="1"/>
  <c r="D113" i="1"/>
  <c r="C110" i="12" s="1"/>
  <c r="C99" i="12"/>
  <c r="H63" i="13"/>
  <c r="H64" i="13" s="1"/>
  <c r="C11" i="12"/>
  <c r="A11" i="12"/>
  <c r="C10" i="12"/>
  <c r="A10" i="12"/>
  <c r="C10" i="2" l="1"/>
  <c r="C11" i="3" s="1"/>
  <c r="H26" i="1"/>
  <c r="H25" i="1"/>
  <c r="H19" i="1"/>
  <c r="H23" i="1"/>
  <c r="H24" i="1"/>
  <c r="H22" i="1"/>
  <c r="H21" i="1"/>
  <c r="G11" i="1"/>
  <c r="N11" i="3" l="1"/>
  <c r="H11" i="3"/>
  <c r="K11" i="3"/>
  <c r="T11" i="3"/>
  <c r="Q11" i="3"/>
  <c r="E11" i="3"/>
  <c r="G15" i="1"/>
  <c r="D10" i="12"/>
  <c r="G12" i="1"/>
  <c r="D11" i="12"/>
  <c r="G16" i="1" l="1"/>
  <c r="C9" i="2" s="1"/>
  <c r="C10" i="3" s="1"/>
  <c r="G13" i="1"/>
  <c r="N10" i="3" l="1"/>
  <c r="K10" i="3"/>
  <c r="T10" i="3"/>
  <c r="Q10" i="3"/>
  <c r="H10" i="3"/>
  <c r="E10" i="3"/>
  <c r="C8" i="2"/>
  <c r="C9" i="3" s="1"/>
  <c r="H15" i="1"/>
  <c r="H12" i="1"/>
  <c r="H11" i="1"/>
  <c r="K9" i="3" l="1"/>
  <c r="T9" i="3"/>
  <c r="N9" i="3"/>
  <c r="E9" i="3"/>
  <c r="H9" i="3"/>
  <c r="Q9" i="3"/>
  <c r="A2" i="2"/>
  <c r="G32" i="1" l="1"/>
  <c r="G35" i="1" l="1"/>
  <c r="H34" i="1" s="1"/>
  <c r="C11" i="2"/>
  <c r="C12" i="3" s="1"/>
  <c r="H31" i="1"/>
  <c r="H29" i="1"/>
  <c r="H32" i="1"/>
  <c r="I5" i="1"/>
  <c r="H30" i="1" l="1"/>
  <c r="H33" i="1"/>
  <c r="T12" i="3"/>
  <c r="E12" i="3"/>
  <c r="H12" i="3"/>
  <c r="N12" i="3"/>
  <c r="Q12" i="3"/>
  <c r="K12" i="3"/>
  <c r="G150" i="1"/>
  <c r="G149" i="1"/>
  <c r="G158" i="1" l="1"/>
  <c r="H140" i="1" s="1"/>
  <c r="H152" i="1" l="1"/>
  <c r="H96" i="1"/>
  <c r="H138" i="1"/>
  <c r="H133" i="1"/>
  <c r="H127" i="1"/>
  <c r="H91" i="1"/>
  <c r="H52" i="1"/>
  <c r="H75" i="1"/>
  <c r="H92" i="1"/>
  <c r="H64" i="1"/>
  <c r="H48" i="1"/>
  <c r="H80" i="1"/>
  <c r="H67" i="1"/>
  <c r="H144" i="1"/>
  <c r="H103" i="1"/>
  <c r="H118" i="1"/>
  <c r="H57" i="1"/>
  <c r="H95" i="1"/>
  <c r="H93" i="1"/>
  <c r="H90" i="1"/>
  <c r="H99" i="1"/>
  <c r="H105" i="1"/>
  <c r="H77" i="1"/>
  <c r="H70" i="1"/>
  <c r="H122" i="1"/>
  <c r="H147" i="1"/>
  <c r="H73" i="1"/>
  <c r="H53" i="1"/>
  <c r="H113" i="1"/>
  <c r="H120" i="1"/>
  <c r="H137" i="1"/>
  <c r="H111" i="1"/>
  <c r="H94" i="1"/>
  <c r="H55" i="1"/>
  <c r="H79" i="1"/>
  <c r="H150" i="1"/>
  <c r="H106" i="1"/>
  <c r="H87" i="1"/>
  <c r="H45" i="1"/>
  <c r="H69" i="1"/>
  <c r="H86" i="1"/>
  <c r="H117" i="1"/>
  <c r="H116" i="1"/>
  <c r="H114" i="1"/>
  <c r="H126" i="1"/>
  <c r="H85" i="1"/>
  <c r="C13" i="2"/>
  <c r="C14" i="3" s="1"/>
  <c r="H97" i="1"/>
  <c r="H110" i="1"/>
  <c r="H107" i="1"/>
  <c r="H58" i="1"/>
  <c r="H81" i="1"/>
  <c r="H65" i="1"/>
  <c r="H131" i="1"/>
  <c r="H145" i="1"/>
  <c r="H115" i="1"/>
  <c r="H124" i="1"/>
  <c r="H119" i="1"/>
  <c r="H72" i="1"/>
  <c r="H130" i="1"/>
  <c r="H112" i="1"/>
  <c r="H146" i="1"/>
  <c r="H157" i="1"/>
  <c r="H134" i="1"/>
  <c r="H104" i="1"/>
  <c r="H83" i="1"/>
  <c r="H71" i="1"/>
  <c r="H60" i="1"/>
  <c r="H155" i="1"/>
  <c r="H149" i="1"/>
  <c r="H139" i="1"/>
  <c r="H100" i="1"/>
  <c r="H63" i="1"/>
  <c r="H46" i="1"/>
  <c r="H88" i="1"/>
  <c r="H61" i="1"/>
  <c r="H129" i="1"/>
  <c r="H47" i="1"/>
  <c r="H136" i="1"/>
  <c r="H84" i="1"/>
  <c r="H125" i="1"/>
  <c r="H101" i="1"/>
  <c r="H51" i="1"/>
  <c r="H82" i="1"/>
  <c r="H154" i="1"/>
  <c r="H89" i="1"/>
  <c r="H50" i="1"/>
  <c r="H54" i="1"/>
  <c r="H78" i="1"/>
  <c r="H76" i="1"/>
  <c r="H142" i="1"/>
  <c r="H121" i="1"/>
  <c r="H59" i="1"/>
  <c r="G164" i="1"/>
  <c r="H42" i="1" s="1"/>
  <c r="C16" i="2"/>
  <c r="D14" i="2" s="1"/>
  <c r="H13" i="1" l="1"/>
  <c r="H158" i="1"/>
  <c r="H27" i="1"/>
  <c r="H16" i="1"/>
  <c r="H35" i="1"/>
  <c r="D12" i="2"/>
  <c r="D11" i="2"/>
  <c r="D13" i="2"/>
  <c r="D8" i="2"/>
  <c r="D9" i="2"/>
  <c r="D10" i="2"/>
  <c r="N14" i="3"/>
  <c r="T14" i="3"/>
  <c r="K14" i="3"/>
  <c r="E14" i="3"/>
  <c r="H14" i="3"/>
  <c r="Q14" i="3"/>
  <c r="C18" i="3"/>
  <c r="H164" i="1" l="1"/>
  <c r="D16" i="2"/>
  <c r="R18" i="3"/>
  <c r="S18" i="3" s="1"/>
  <c r="Q18" i="3"/>
  <c r="T18" i="3"/>
  <c r="U18" i="3"/>
  <c r="V18" i="3" s="1"/>
  <c r="D12" i="3"/>
  <c r="D19" i="3"/>
  <c r="D13" i="3"/>
  <c r="D10" i="3"/>
  <c r="D15" i="3"/>
  <c r="D11" i="3"/>
  <c r="D9" i="3"/>
  <c r="C20" i="3"/>
  <c r="L18" i="3"/>
  <c r="M18" i="3" s="1"/>
  <c r="K18" i="3"/>
  <c r="H18" i="3"/>
  <c r="I18" i="3"/>
  <c r="J18" i="3" s="1"/>
  <c r="N18" i="3"/>
  <c r="O18" i="3"/>
  <c r="P18" i="3" s="1"/>
  <c r="D14" i="3"/>
  <c r="F18" i="3"/>
  <c r="G18" i="3" s="1"/>
  <c r="E18" i="3"/>
  <c r="N19" i="3" l="1"/>
  <c r="E19" i="3"/>
  <c r="G19" i="3" s="1"/>
  <c r="H19" i="3"/>
  <c r="D18" i="3"/>
  <c r="D20" i="3" s="1"/>
  <c r="K20" i="3" s="1"/>
  <c r="T19" i="3"/>
  <c r="K19" i="3"/>
  <c r="Q19" i="3"/>
  <c r="J19" i="3" l="1"/>
  <c r="M19" i="3" s="1"/>
  <c r="P19" i="3" s="1"/>
  <c r="S19" i="3" s="1"/>
  <c r="V19" i="3" s="1"/>
  <c r="N20" i="3"/>
  <c r="I8" i="1"/>
  <c r="Q20" i="3"/>
  <c r="T20" i="3"/>
  <c r="H20" i="3"/>
  <c r="E20" i="3"/>
  <c r="G20" i="3" s="1"/>
  <c r="J20" i="3" l="1"/>
  <c r="M20" i="3" s="1"/>
  <c r="P20" i="3" s="1"/>
  <c r="S20" i="3" s="1"/>
  <c r="V20" i="3" s="1"/>
</calcChain>
</file>

<file path=xl/sharedStrings.xml><?xml version="1.0" encoding="utf-8"?>
<sst xmlns="http://schemas.openxmlformats.org/spreadsheetml/2006/main" count="1003" uniqueCount="560">
  <si>
    <t>ITEM</t>
  </si>
  <si>
    <t>CÓDIGO</t>
  </si>
  <si>
    <t>DESCRIÇÃO</t>
  </si>
  <si>
    <t>UNIDADE</t>
  </si>
  <si>
    <t>QUANTIDADE</t>
  </si>
  <si>
    <t>74209/001</t>
  </si>
  <si>
    <t>1.1</t>
  </si>
  <si>
    <t>1.2</t>
  </si>
  <si>
    <t>2.1</t>
  </si>
  <si>
    <t>3.1</t>
  </si>
  <si>
    <t>3.2</t>
  </si>
  <si>
    <t>3.3</t>
  </si>
  <si>
    <t>3.4</t>
  </si>
  <si>
    <t>4.1</t>
  </si>
  <si>
    <t>4.2</t>
  </si>
  <si>
    <t>4.3</t>
  </si>
  <si>
    <t>4.4</t>
  </si>
  <si>
    <t>5.1</t>
  </si>
  <si>
    <t>M²</t>
  </si>
  <si>
    <t>M³</t>
  </si>
  <si>
    <t>M</t>
  </si>
  <si>
    <t>ESTADO DE MATO GROSSO DO SUL
PREFEITURA CORGUINHO
Secretaria Municipal de Administração - Departamento de Planejamento</t>
  </si>
  <si>
    <t>TOTAL</t>
  </si>
  <si>
    <t xml:space="preserve">              ESTADO DE MATO GROSSO DO SUL
              PREFEITURA CORGUINHO
              Secretaria Municipal de Administração - Departamento de Planejamento</t>
  </si>
  <si>
    <t>120 DIAS</t>
  </si>
  <si>
    <t>30 DIAS</t>
  </si>
  <si>
    <t>60 DIAS</t>
  </si>
  <si>
    <t>90 DIAS</t>
  </si>
  <si>
    <t>CRONOGRAMA FÍSICO-FINANCEIRO</t>
  </si>
  <si>
    <t>Responsável Técnico</t>
  </si>
  <si>
    <t>OBRA: REFORMA DO BALNEARIO MUNICIPAL
PROGRAMA: TURISMO NO BRASIL
EMPREENDIMENTO: INFRAESTRUTURA EM ORLA FLUVIAL - REFORMA DO BALNEARIO MUNICIPAL "JOAQUIM DE ALMEIDA" - CORGUINHO MS
AGENTE PROMOTOR: PREFEITURA MUNICIPAL DE CORGUINHO</t>
  </si>
  <si>
    <t>74131/004</t>
  </si>
  <si>
    <t>74130/003</t>
  </si>
  <si>
    <t>74130/001</t>
  </si>
  <si>
    <t>73953/004</t>
  </si>
  <si>
    <t>SERVIÇOS GERAIS DE CANTEIRO</t>
  </si>
  <si>
    <t>PLACA DE OBRA EM CHAPA DE AÇO GALVANIZADA</t>
  </si>
  <si>
    <t>PROJETOS EXECUTIVOS</t>
  </si>
  <si>
    <t>ELABORAÇÃO DE PROJETOS COMPLEMENTARES</t>
  </si>
  <si>
    <t>ESQUADRIAS  E FERRAGENS</t>
  </si>
  <si>
    <t>DOBRADICA EM LATAO CROMADO 3X3", COM ANEIS</t>
  </si>
  <si>
    <t>INSTALAÇÕES HIDRO-SANITÁRIAS</t>
  </si>
  <si>
    <t>SUMIDOURO EM ALVENARIA DE TIJOLO CERAMICO MACIÇO DIAMETRO 1,40M E ALTURA 5,00M, COM TAMPA EM CONCRETO ARMADO DIAMETRO 1,60M E ESPESSURA 10CM</t>
  </si>
  <si>
    <t>REDE DE ÁGUAS PLUVIAIS</t>
  </si>
  <si>
    <t>INSTALAÇÕES ELÉTRICAS</t>
  </si>
  <si>
    <t>DISJUNTOR TERMOMAGNETICO MONOPOLAR PADRAO NEMA (AMERICANO) 10 A 30A 240V, FORNECIMENTO E INSTALACAO</t>
  </si>
  <si>
    <t>LUMINARIA TIPO CALHA, DE SOBREPOR, COM REATOR DE PARTIDA RAPIDA E LAMPADA FLUORESCENTE 4X20W, COMPLETA, FORNECIMENTO E INSTALACAO</t>
  </si>
  <si>
    <t>HASTE COPPERWELD 5/8 X 3,0M COM CONECTOR</t>
  </si>
  <si>
    <t>REVESTIMENTO DE PAREDES</t>
  </si>
  <si>
    <t>REVESTIMENTO  DE  PISOS</t>
  </si>
  <si>
    <t>REVESTIMENTO DE FORROS</t>
  </si>
  <si>
    <t>COBERTURA</t>
  </si>
  <si>
    <t>VIDRO</t>
  </si>
  <si>
    <t>VIDRO FANTASIA TIPO CANELADO, ESPESSURA 4MM</t>
  </si>
  <si>
    <t>PINTURA</t>
  </si>
  <si>
    <t>PINTURA ESMALTE 2 DEMAOS C/1 DEMAO ZARCAO P/ESQUADRIA FERRO</t>
  </si>
  <si>
    <t>INSTALAÇÕES PREVENTIVAS DE INCÊNDIO</t>
  </si>
  <si>
    <t>EXTINTOR INCENDIO AGUA-PRESSURIZADA 10L INCL SUPORTE PAREDE CARGA COMPLETA FORNECIMENTO E COLOCACAO</t>
  </si>
  <si>
    <t>EXTINTOR INCENDIO TP PO QUIMICO 4KG FORNECIMENTO E COLOCACAO</t>
  </si>
  <si>
    <t>LIMPEZA</t>
  </si>
  <si>
    <t xml:space="preserve">LIMPEZA FINAL DA OBRA </t>
  </si>
  <si>
    <t>UND</t>
  </si>
  <si>
    <t>Thiago Sanches Alves Corrêa</t>
  </si>
  <si>
    <t>Engº Civil - Crea 11.027-D/MS</t>
  </si>
  <si>
    <t>QDADE</t>
  </si>
  <si>
    <t>CUSTO UNITÁRIO</t>
  </si>
  <si>
    <t>TOTAL ITEM 01</t>
  </si>
  <si>
    <t>TOTAL ITEM 02</t>
  </si>
  <si>
    <t>EXECUÇÃO DE PASSEIO (CALÇADA) OU PISO DE CONCRETO COM CONCRETO MOLDADO IN LOCO, USINADO, ACABAMENTO CONVENCIONAL, NÃO ARMADO.</t>
  </si>
  <si>
    <t>PREPARO MANUAL DE TERRENO S/ RASPAGEM SUPERFICIAL</t>
  </si>
  <si>
    <t>REGULARIZACAO DE SUPERFICIES EM TERRA COM MOTONIVELADORA</t>
  </si>
  <si>
    <t>MEMÓRIA DE CÁLCULO</t>
  </si>
  <si>
    <t>Placa de 4 x 2 = 8,00 m²</t>
  </si>
  <si>
    <t>Item mantido</t>
  </si>
  <si>
    <t>GUIA (MEIO-FIO) CONCRETO, MOLDADA IN LOCO EM TRECHO RETO COM EXTRUSORA, 11,5 CM BASE X 22 CM ALTURA.</t>
  </si>
  <si>
    <t>MEIO-FIO COM SARJETA, CONCRETO FCK=20MPA, SEÇÃO 615 CM2</t>
  </si>
  <si>
    <t>m³</t>
  </si>
  <si>
    <t>m</t>
  </si>
  <si>
    <t>COMP 01</t>
  </si>
  <si>
    <t>SERVIÇO</t>
  </si>
  <si>
    <t>UNIDADE DO SERVIÇO</t>
  </si>
  <si>
    <t>PRODUÇÃO DA EQUIPE</t>
  </si>
  <si>
    <t>m/h</t>
  </si>
  <si>
    <t>EQUIPAMENTO</t>
  </si>
  <si>
    <t>CUSTO OPERACIONAL</t>
  </si>
  <si>
    <t>QUANT.</t>
  </si>
  <si>
    <t>UTILIZAÇÃO</t>
  </si>
  <si>
    <t>CUSTO</t>
  </si>
  <si>
    <t>PROD.</t>
  </si>
  <si>
    <t>IMPROD.</t>
  </si>
  <si>
    <t>HORÁRIO</t>
  </si>
  <si>
    <t>CUSTO HORÁRIO DO EQUIPAMENTO</t>
  </si>
  <si>
    <t>MÃO DE OBRA</t>
  </si>
  <si>
    <t>SALÁRIO</t>
  </si>
  <si>
    <t>BASE</t>
  </si>
  <si>
    <t>Servente</t>
  </si>
  <si>
    <t>CUSTO HORÁRIO DA MÃO DE OBRA</t>
  </si>
  <si>
    <t>CUSTO UNITÁRIO TOTAL</t>
  </si>
  <si>
    <t>CUSTO UNITÁRIO DA EXECUÇÃO</t>
  </si>
  <si>
    <t>MATERIAIS</t>
  </si>
  <si>
    <t>UNID.</t>
  </si>
  <si>
    <t>QUANTIDADES</t>
  </si>
  <si>
    <t>UNITÁRIO</t>
  </si>
  <si>
    <t>94962</t>
  </si>
  <si>
    <t>CONCRETO FCK=15MPA (1:2,5:3) , INCLUIDO PREPARO MECANICO, LANCAMENTO E ADENSAMENTO.</t>
  </si>
  <si>
    <t>93358</t>
  </si>
  <si>
    <t>ESCAVACAO MANUAL A CEU ABERTO EM MATERIAL DE 1A CATEGORIA, EM PROFUNDIDADE ATE 0,50M</t>
  </si>
  <si>
    <t>92873</t>
  </si>
  <si>
    <t>LANÇAMENTO COM USO DE BALDES, ADENSAMENTO E ACABAMENTO DE CONCRETO EM ESTRUTURAS. AF_12/2015</t>
  </si>
  <si>
    <t>CUSTO UNITÁRIO DE MATERIAIS</t>
  </si>
  <si>
    <t>TRANSPORTE</t>
  </si>
  <si>
    <t>D.M.T.</t>
  </si>
  <si>
    <t>CUSTO UNITÁRIO DE TRANSPORTE</t>
  </si>
  <si>
    <t>CUSTO DIRETO TOTAL :</t>
  </si>
  <si>
    <t>R$</t>
  </si>
  <si>
    <t>BONIFICAÇÃO :</t>
  </si>
  <si>
    <t>CUSTO UNITÁRIO TOTAL :</t>
  </si>
  <si>
    <t>COMPOSIÇÃO DE CUSTO UNITÁRIO - COMP 01</t>
  </si>
  <si>
    <t>AREIA LAVADA</t>
  </si>
  <si>
    <t>150 DIAS</t>
  </si>
  <si>
    <t>180 DIAS</t>
  </si>
  <si>
    <t xml:space="preserve">Valor </t>
  </si>
  <si>
    <t>Período</t>
  </si>
  <si>
    <t>Acumulado</t>
  </si>
  <si>
    <t>Valor Total</t>
  </si>
  <si>
    <t>Valor do Repasse</t>
  </si>
  <si>
    <t>Valor da Contrapartida</t>
  </si>
  <si>
    <t>3.5</t>
  </si>
  <si>
    <t>3.6</t>
  </si>
  <si>
    <t>3.7</t>
  </si>
  <si>
    <t>M3</t>
  </si>
  <si>
    <t>M2</t>
  </si>
  <si>
    <t>KG</t>
  </si>
  <si>
    <t>ALVENARIA</t>
  </si>
  <si>
    <t>IMPERMEABILIZAÇÃO</t>
  </si>
  <si>
    <t>PRANCHAS PARA ABDOMINAL</t>
  </si>
  <si>
    <t>BARRAS HORIZONTAIS PARA ALONGAMENTO</t>
  </si>
  <si>
    <t>CJ</t>
  </si>
  <si>
    <t>EQUIPAMENTOS COM BARRA  PARALELA</t>
  </si>
  <si>
    <t xml:space="preserve">FORNECIMENTO E COLOCAÇÃO DE BALANÇO PARA TRÊS LUGARES </t>
  </si>
  <si>
    <t>FORNECIMENTO E COLOCAÇÃO DE GANGORRA COM UMA PRANCHA</t>
  </si>
  <si>
    <t>LIXEIRAS EM POLIETILENO EM ALTA DENSIDADE FIXADO EM ESTRUTURA METÁLICA E CHUMBADA NO CHÃO, CAPACIDADE 50 LTS CADA</t>
  </si>
  <si>
    <t>URBANIZAÇÃO</t>
  </si>
  <si>
    <t>GRAMA BATATAIS EM PLACAS</t>
  </si>
  <si>
    <t>ÁREA DO BANHEIRO A CONSTRUIR = 16,53 X 0,70 (ALTURA MÉDIA DE ATERRO) = 11,57 M³</t>
  </si>
  <si>
    <t>74106/001</t>
  </si>
  <si>
    <t>CONFORME PROJETO</t>
  </si>
  <si>
    <t>ÁREA DE ALVENARIA X 2</t>
  </si>
  <si>
    <t>5.2</t>
  </si>
  <si>
    <t>5.3</t>
  </si>
  <si>
    <t>5.4</t>
  </si>
  <si>
    <t>73775/002</t>
  </si>
  <si>
    <t>73775/001</t>
  </si>
  <si>
    <t>73933/003</t>
  </si>
  <si>
    <t>M3XKM</t>
  </si>
  <si>
    <t>TRANSPORTE COM CAMINHÃO BASCULANTE 10 M3 DE MASSA ASFALTICA PARA PAVIMENTAÇÃO URBANA - DMT 10 KM (Rochedo até Corguinho)</t>
  </si>
  <si>
    <t>Contato</t>
  </si>
  <si>
    <t>Empresa</t>
  </si>
  <si>
    <t>Média</t>
  </si>
  <si>
    <t>Valor</t>
  </si>
  <si>
    <t>COTAÇÃO</t>
  </si>
  <si>
    <t>OBRA: REVITALIZAÇÃO DO BALNEARIO MUNICIPAL - 2º ETAPA
PROGRAMA: TURISMO NO BRASIL
EMPREENDIMENTO: APOIO A PROJETO DE INFRAESTRUTURA TURÍSTICA - Infraestrutura em Orla Fluvial - Revitalização do Balneário
Barrinha em Corguinho - MS - 2ª ETAPA
AGENTE PROMOTOR: PREFEITURA MUNICIPAL DE CORGUINHO</t>
  </si>
  <si>
    <t>Nº / ANO DA PROPOSTA: 003047/2016</t>
  </si>
  <si>
    <t>ENCARGOS SOCIAIS DESONERADOS: 88,35%(HORA) 50,30%(MÊS)</t>
  </si>
  <si>
    <t>EXECUÇÃO DE ESCRITÓRIO EM CANTEIRO DE OBRA EM CHAPA DE MADEIRA COMPENSADA, NÃO INCLUSO MOBILIÁRIO E EQUIPAMENTOS.</t>
  </si>
  <si>
    <t>PLANILHA ORÇAMENTÁRIA</t>
  </si>
  <si>
    <t>PERCENTUAL</t>
  </si>
  <si>
    <t>PROTEÇÃO COM TELA</t>
  </si>
  <si>
    <t>74244/001</t>
  </si>
  <si>
    <t>ALAMBRADO PARA QUADRA POLIESPORTIVA, ESTRUTURADO POR TUBOS DE ACO GALVANIZADO, COM COSTURA, DIN 2440, DIAMETRO 2", COM TELA DE ARAME GALVANIZADO, FIO 14 BWG E MALHA QUADRADA 5X5CM</t>
  </si>
  <si>
    <t>QUADRA DE 45 X 25 - 45 X 2 + 25 X 2 = 140 METROS</t>
  </si>
  <si>
    <t>QUADRA DE 45 X 25 - 45 X 2 X 2,5+ 25 X 2 X 6 + TRIANGULO DOS CANTOS = 560 METROS</t>
  </si>
  <si>
    <t>DISTÂNCIA ENTRE ROCHEDO E CORGUINHO 15 KM</t>
  </si>
  <si>
    <t>DISTÂNCIA ENTRE TUBOS DE PILARES DE 3,00 METROS ( 45X2+25X2)/3 = 47 UNIDADES X 2,00 METROS = 94,00 METROS</t>
  </si>
  <si>
    <t>ARMAÇÃO DE BLOCO, VIGA BALDRAME OU SAPATA UTILIZANDO AÇO CA-50 DE 8 MM - MONTAGEM.</t>
  </si>
  <si>
    <t>ARMAÇÃO DE BLOCO, VIGA BALDRAME E SAPATA UTILIZANDO AÇO CA-60 DE 5 MM - MONTAGEM</t>
  </si>
  <si>
    <t>TOTAL ITEM 03</t>
  </si>
  <si>
    <t>REVITALIZALÇÃO DA QUADRA DE AREIA</t>
  </si>
  <si>
    <t>1.0</t>
  </si>
  <si>
    <t>2.0</t>
  </si>
  <si>
    <t>3.0</t>
  </si>
  <si>
    <t>4.0</t>
  </si>
  <si>
    <t>TOTAL ITEM 04</t>
  </si>
  <si>
    <t>PISTA DE CAMINHADA</t>
  </si>
  <si>
    <t>TOTAL ITEM 05</t>
  </si>
  <si>
    <t>5.0</t>
  </si>
  <si>
    <t>47 BROCAS DE 2,00 DE PROFUNDIDADE COM 4 FERRO DE 8.0 MM</t>
  </si>
  <si>
    <t>47 BROCAS DE 20 CM DE DIAMETRO COM FERRO DE 5 MM A CADA 20 CM</t>
  </si>
  <si>
    <t>ITEM 4.1 X 0,07 DE ESPESSURA</t>
  </si>
  <si>
    <t>5.6</t>
  </si>
  <si>
    <t>SERVIÇOS EM TERRA</t>
  </si>
  <si>
    <t>ESCAVACAO MANUAL DE VALA EM MATERIAL DE 1A CATEGORIA DE 1,5 ATE 3M EXCLUINDO ESGOTAMENTO / ESCORAMENTO</t>
  </si>
  <si>
    <t>REGULARIZACAO E COMPACTACAO MANUAL DE TERRENO COM SOQUETE</t>
  </si>
  <si>
    <t>LASTRO DE BRITA</t>
  </si>
  <si>
    <t>COMPACTACAO MECANICA C/ CONTROLE DO GC&gt;=95% DO PN (AREAS) (C/MONONIVELADORA 140 HP E ROLO COMPRESSOR VIBRATORIO 80 HP)</t>
  </si>
  <si>
    <t xml:space="preserve">FUNDAÇÃO </t>
  </si>
  <si>
    <t>FORMA PINHO 3A P/CONCRETO EM FUNDACAO REAPROV 2 VEZES - CORTE/MONTAGEM/ESCORAMENTO/DESFORMA</t>
  </si>
  <si>
    <t>ARMAÇÃO DE FUNDAÇÕES E ESTRUTURAS DE CONCRETO ARMADO, EXCETO VIGAS, PILARES E LAJES (DE EDIFÍCIOS DE MÚLTIPLOS PAVIMENTOS, EDIFICAÇÃO TÉRREA OU SOBRADO), UTILIZANDO AÇO CA-60 DE 5.0 MM - MONTAGEM. AF_12/2015</t>
  </si>
  <si>
    <t>CONCRETO FCK=20MPA, VIRADO EM BETONEIRA, SEM LANCAMENTO</t>
  </si>
  <si>
    <t>ESTRUTURA</t>
  </si>
  <si>
    <t>FABRICAÇÃO DE FÔRMA PARA PILARES E ESTRUTURAS SIMILARES, EM MADEIRA SERRADA, E=25 MM. AF_12/2015</t>
  </si>
  <si>
    <t>ARMAÇÃO DE PILAR OU VIGA DE UMA ESTRUTURA CONVENCIONAL DE CONCRETO ARMADO EM UMA EDIFÍCAÇÃO TÉRREA OU SOBRADO UTILIZANDO AÇO CA-60 DE 5.0 - MONTAGEM. AF_12/2015</t>
  </si>
  <si>
    <t>ARMAÇÃO DE PILAR OU VIGA DE UMA ESTRUTURA CONVENCIONAL DE CONCRETO ARMADO EM UMA EDIFÍCAÇÃO TÉRREA OU SOBRADO UTILIZANDO AÇO CA-50 DE 6.3 MM - MONTAGEM. AF_12/2015</t>
  </si>
  <si>
    <t>ALVENARIA DE VEDAÇÃO DE BLOCOS CERÂMICOS FURADOS NA HORIZONTAL DE 9X19X19CM (ESPESSURA 9CM) DE PAREDES COM ÁREA LÍQUIDA MENOR QUE 6M² SEM VÃOS E ARGAMASSA DE ASSENTAMENTO COM PREPARO EM BETONEIRA. AF_06/2014</t>
  </si>
  <si>
    <t>IMPERMEABILIZACAO DE ESTRUTURAS ENTERRADAS, COM TINTA ASFALTICA, DUAS DEMAOS</t>
  </si>
  <si>
    <t>JANELA BASCULANTE, ACO, COM BATENTE/REQUADRO, 60 X 80 CM (SEM VIDROS)</t>
  </si>
  <si>
    <t>PORTA DE FERRO TIPO VENEZIANA, DE ABRIR, SEM BANDEIRA SEM FERRAGENS</t>
  </si>
  <si>
    <t>FECHADURA DE EMBUTIR COM CILINDRO, EXTERNA, COMPLETA, ACABAMENTO PADRÃO MÉDIO, INCLUSO EXECUÇÃO DE FURO - FORNECIMENTO E INSTALAÇÃO. AF_08/2015</t>
  </si>
  <si>
    <t>TUBO, PVC, SOLDÁVEL, DN 25MM, INSTALADO EM RAMAL OU SUB-RAMAL DE ÁGUA - FORNECIMENTO E INSTALAÇÃO. AF_12/2014_P</t>
  </si>
  <si>
    <t>TUBO, PVC, SOLDÁVEL, DN 60MM, INSTALADO EM PRUMADA DE ÁGUA - FORNECIMENTO E INSTALAÇÃO. AF_12/2014_P</t>
  </si>
  <si>
    <t>TUBO, PVC, SOLDÁVEL, DN 50MM, INSTALADO EM PRUMADA DE ÁGUA - FORNECIMENTO E INSTALAÇÃO. AF_12/2014_P</t>
  </si>
  <si>
    <t>LUVA SOLDAVEL COM ROSCA, PVC, 50 MM X 1 1/2", PARA AGUA FRIA PREDIAL</t>
  </si>
  <si>
    <t>LUVA SOLDAVEL COM ROSCA, PVC, 25 MM X 3/4", PARA AGUA FRIA PREDIAL</t>
  </si>
  <si>
    <t>REGISTRO DE PRESSÃO BRUTO, LATÃO, ROSCÁVEL, 3/4", COM ACABAMENTO E CANOPLA CROMADOS. FORNECIDO E INSTALADO EM RAMAL DE ÁGUA. AF_12/2014</t>
  </si>
  <si>
    <t>REGISTRO DE GAVETA BRUTO, LATÃO, ROSCÁVEL, 3/4", COM ACABAMENTO E CANOPLA CROMADOS. FORNECIDO E INSTALADO EM RAMAL DE ÁGUA. AF_12/2014</t>
  </si>
  <si>
    <t>REGISTRO DE GAVETA BRUTO, LATÃO, ROSCÁVEL, 1 1/2, INSTALADO EM RESERVAÇÃO DE ÁGUA DE EDIFICAÇÃO QUE POSSUA RESERVATÓRIO DE FIBRA/FIBROCIMENTO FORNECIMENTO E INSTALAÇÃO. AF_06/2016</t>
  </si>
  <si>
    <t>TE PVC, SOLDAVEL, COM ROSCA NA BOLSA CENTRAL, 90 GRAUS, 25 MM X 1/2", PARA AGUA FRIA PREDIAL</t>
  </si>
  <si>
    <t>JOELHO PVC, SOLDAVEL COM ROSCA, 90 GRAUS, 25 MM X 1/2", PARA AGUA FRIA PREDIAL</t>
  </si>
  <si>
    <t>TORNEIRA CROMADA DE MESA, 1/2" OU 3/4", PARA LAVATÓRIO, PADRÃO POPULAR - FORNECIMENTO E INSTALAÇÃO. AF_12/2013</t>
  </si>
  <si>
    <t>TORNEIRA CROMADA LONGA, DE PAREDE, 1/2" OU 3/4", PARA PIA DE COZINHA, PADRÃO POPULAR - FORNECIMENTO E INSTALAÇÃO. AF_12/2013</t>
  </si>
  <si>
    <t>TORNEIRA CROMADA 1/2" OU 3/4" PARA TANQUE, PADRÃO POPULAR - FORNECIMENTO E INSTALAÇÃO. AF_12/2013</t>
  </si>
  <si>
    <t>TUBO PVC, SERIE NORMAL, ESGOTO PREDIAL, DN 40 MM, FORNECIDO E INSTALADO EM RAMAL DE DESCARGA OU RAMAL DE ESGOTO SANITÁRIO. AF_12/2014_P</t>
  </si>
  <si>
    <t>TUBO PVC, SERIE NORMAL, ESGOTO PREDIAL, DN 50 MM, FORNECIDO E INSTALADO EM RAMAL DE DESCARGA OU RAMAL DE ESGOTO SANITÁRIO. AF_12/2014_P</t>
  </si>
  <si>
    <t>TUBO PVC, SERIE NORMAL, ESGOTO PREDIAL, DN 100 MM, FORNECIDO E INSTALADO EM RAMAL DE DESCARGA OU RAMAL DE ESGOTO SANITÁRIO. AF_12/2014_P</t>
  </si>
  <si>
    <t>CAIXA SIFONADA PVC 150 X 150 X 50MM COM TAMPA CEGA QUADRADA BRANCA</t>
  </si>
  <si>
    <t>RALO SIFONADO PVC, QUADRADO, 100 X 100 X 53 MM, SAIDA 40 MM, COM GRELHA BRANCA</t>
  </si>
  <si>
    <t>CAIXA DE INSPEÇÃO EM ALVENARIA DE TIJOLO MACIÇO 60X60X60CM, REVESTIDA INTERNAMENTO COM BARRA LISA (CIMENTO E AREIA, TRAÇO 1:4) E=2,0CM, COM TAMPA PRÉ-MOLDADA DE CONCRETO E FUNDO DE CONCRETO 15MPA TIPO C - ESCAVAÇÃO E CONFECÇÃO</t>
  </si>
  <si>
    <t>FOSSA SEPTICA EM ALVENARIA DE TIJOLO CERAMICO MACICO DIMENSOES EXTERNAS 1,90X1,10X1,40M, 1.500 LITROS, REVESTIDA INTERNAMENTE COM BARRA LISA, COM TAMPA EM CONCRETO ARMADO COM ESPESSURA 8CM</t>
  </si>
  <si>
    <t xml:space="preserve">RESERVATÓRIO METÁLICO NA CAPACIDADE DE 10.000 LITROS </t>
  </si>
  <si>
    <t>ELETRODUTO RÍGIDO ROSCÁVEL, PVC, DN 20 MM (1/2"), PARA CIRCUITOS TERMINAIS, INSTALADO EM FORRO - FORNECIMENTO E INSTALAÇÃO. AF_12/2015</t>
  </si>
  <si>
    <t>ELETRODUTO RÍGIDO ROSCÁVEL, PVC, DN 40 MM (1 1/4"), PARA CIRCUITOS TERMINAIS, INSTALADO EM FORRO - FORNECIMENTO E INSTALAÇÃO. AF_12/2015</t>
  </si>
  <si>
    <t>QUADRO DE DISTRIBUICAO DE ENERGIA DE EMBUTIR, EM CHAPA METALICA, PARA 18 DISJUNTORES TERMOMAGNETICOS MONOPOLARES, COM BARRAMENTO TRIFASICO E NEUTRO, FORNECIMENTO E INSTALACAO</t>
  </si>
  <si>
    <t>CAIXA DE PASSAGEM 40X40X50 FUNDO BRITA COM TAMPA</t>
  </si>
  <si>
    <t>CABO DE COBRE FLEXÍVEL ISOLADO, 1,5 MM², ANTI-CHAMA 450/750 V, PARA CIRCUITOS TERMINAIS - FORNECIMENTO E INSTALAÇÃO. AF_12/2015</t>
  </si>
  <si>
    <t>CABO DE COBRE FLEXÍVEL ISOLADO, 2,5 MM², ANTI-CHAMA 450/750 V, PARA CIRCUITOS TERMINAIS - FORNECIMENTO E INSTALAÇÃO. AF_12/2015</t>
  </si>
  <si>
    <t>DISJUNTOR TERMOMAGNETICO BIPOLAR PADRAO NEMA (AMERICANO) 10 A 50A 240V, FORNECIMENTO E INSTALACAO</t>
  </si>
  <si>
    <t>INTERRUPTOR SIMPLES (1 MÓDULO), 10A/250V, INCLUINDO SUPORTE E PLACA - FORNECIMENTO E INSTALAÇÃO. AF_12/2015</t>
  </si>
  <si>
    <t>TOMADA DE EMBUTIR, 2 P + T, UNIVERSAL, DE 10 A / 250 V, COM PLACA</t>
  </si>
  <si>
    <t>CHAPISCO APLICADO EM ALVENARIAS E ESTRUTURAS DE CONCRETO INTERNAS, COM COLHER DE PEDREIRO. ARGAMASSA TRAÇO 1:3 COM PREPARO MANUAL. AF_06/2014</t>
  </si>
  <si>
    <t>EMBOÇO, PARA RECEBIMENTO DE CERÂMICA, EM ARGAMASSA TRAÇO 1:2:8, PREPARO MANUAL, APLICADO MANUALMENTE EM FACES INTERNAS DE PAREDES DE AMBIENTES COM ÁREA MENOR QUE 5M2, ESPESSURA DE 20MM, COM EXECUÇÃO DE TALISCAS. AF_06/2014</t>
  </si>
  <si>
    <t>EMBOÇO, PARA RECEBIMENTO DE CERÂMICA, EM ARGAMASSA TRAÇO 1:2:8, PREPARO MECÂNICO COM BETONEIRA 400L, APLICADO MANUALMENTE EM FACES INTERNASDE PAREDES DE AMBIENTES COM ÁREA MAIOR QUE 10M2, ESPESSURA DE 20MM, COM EXECUÇÃO DE TALISCAS. AF_06/2014</t>
  </si>
  <si>
    <t>REVESTIMENTO CERÂMICO PARA PAREDES INTERNAS COM PLACAS TIPO GRÊS OU SEMI-GRÊS DE DIMENSÕES 20X20 CM APLICADAS EM AMBIENTES DE ÁREA MAIOR QUE 5 M² NA ALTURA INTEIRA DAS PAREDES. AF_06/2014</t>
  </si>
  <si>
    <t>LASTRO DE CONCRETO NAO-ESTRUTURAL, E=5CM, PREPARO COM BETONEIRA</t>
  </si>
  <si>
    <t>REVESTIMENTO CERÂMICO PARA PISO COM PLACAS TIPO GRÊS DE DIMENSÕES 35X35 CM APLICADA EM AMBIENTES DE ÁREA ENTRE 5 M2 E 10 M2. AF_06/2014</t>
  </si>
  <si>
    <t>FORRO DE MADEIRA, TABUAS 10X1CM COM FRISO MACHO/FEMEA, INCLUSIVE MEIA-CANA E ENTARUGAMENTO</t>
  </si>
  <si>
    <t>RUFO EM CHAPA DE AÇO GALVANIZADO NÚMERO 24, CORTE DE 25 CM, INCLUSO TRANSPORTE VERTICAL. AF_06/2016</t>
  </si>
  <si>
    <t>TRAMA DE MADEIRA COMPOSTA POR RIPAS, CAIBROS E TERÇAS PARA TELHADOS DE ATÉ 2 ÁGUAS PARA TELHA DE ENCAIXE DE CERÂMICA OU DE CONCRETO, INCLUSO TRANSPORTE VERTICAL. AF_12/2015</t>
  </si>
  <si>
    <t>TELHAMENTO COM TELHA CERÂMICA DE ENCAIXE, TIPO FRANCESA, COM ATÉ 2 ÁGUAS, INCLUSO TRANSPORTE VERTICAL. AF_06/2016</t>
  </si>
  <si>
    <t>APLICAÇÃO E LIXAMENTO DE MASSA LÁTEX EM PAREDES, DUAS DEMÃOS. AF_06/2014</t>
  </si>
  <si>
    <t>APLICAÇÃO MANUAL DE PINTURA COM TINTA TEXTURIZADA ACRÍLICA EM PAREDES EXTERNAS DE CASAS, UMA COR. AF_06/2014</t>
  </si>
  <si>
    <t>OBRAS OU SERVIÇOS PADRONIZADOS</t>
  </si>
  <si>
    <t>PLANTIO DE ARVORE, ALTURA DE 1,00M, EM CAVAS DE 80X80X80CM</t>
  </si>
  <si>
    <t>TOTAL ITEM 06</t>
  </si>
  <si>
    <t>TOTAL DOS SERVIÇOS</t>
  </si>
  <si>
    <t>74005/002</t>
  </si>
  <si>
    <t>74104/001</t>
  </si>
  <si>
    <t>74198/002</t>
  </si>
  <si>
    <t>73967/001</t>
  </si>
  <si>
    <t>CERCAMENTO DA ÁREA DO BALNEÁRIO</t>
  </si>
  <si>
    <t>BDI 26,41% - SINAPI DEZEMBRO/2017</t>
  </si>
  <si>
    <t>FABRICAÇÃO, MONTAGEM E DESMONTAGEM DE FÔRMA PARA VIGA</t>
  </si>
  <si>
    <t>m²</t>
  </si>
  <si>
    <t>3.8</t>
  </si>
  <si>
    <t>PORTAO DE FERRO EM CHAPA GALVANIZADA PLANA 14 GSG</t>
  </si>
  <si>
    <t>arborização do local, instalação de equipamentos para campistas e banhistas como: lixeiras, bancos, placas de sinalização, pista de caminhada, academia ao ar livre e parque infantil em eucalipto tratado.
campistas e banhistas como: lixeiras, bancos, placas de sinalização, academia ao ar livre e parque infantil
em eucalipto tratado.</t>
  </si>
  <si>
    <t>6.0</t>
  </si>
  <si>
    <t>6.1</t>
  </si>
  <si>
    <t>6.1.1</t>
  </si>
  <si>
    <t>6.1.2</t>
  </si>
  <si>
    <t>6.1.3</t>
  </si>
  <si>
    <t>6.1.4</t>
  </si>
  <si>
    <t>6.2</t>
  </si>
  <si>
    <t>6.2.1</t>
  </si>
  <si>
    <t>6.2.2</t>
  </si>
  <si>
    <t>6.2.3</t>
  </si>
  <si>
    <t>6.2.4</t>
  </si>
  <si>
    <t>6.2.5</t>
  </si>
  <si>
    <t>6.3</t>
  </si>
  <si>
    <t>6.3.1</t>
  </si>
  <si>
    <t>6.3.2</t>
  </si>
  <si>
    <t>6.3.3</t>
  </si>
  <si>
    <t>6.3.4</t>
  </si>
  <si>
    <t>6.4</t>
  </si>
  <si>
    <t>6.4.1</t>
  </si>
  <si>
    <t>6.4.2</t>
  </si>
  <si>
    <t>6.5</t>
  </si>
  <si>
    <t>6.5.1</t>
  </si>
  <si>
    <t>6.6</t>
  </si>
  <si>
    <t>6.6.1</t>
  </si>
  <si>
    <t>6.6.2</t>
  </si>
  <si>
    <t>6.6.3</t>
  </si>
  <si>
    <t>6.6.6</t>
  </si>
  <si>
    <t>6.7</t>
  </si>
  <si>
    <t>6.7.1</t>
  </si>
  <si>
    <t>6.7.2</t>
  </si>
  <si>
    <t>6.7.3</t>
  </si>
  <si>
    <t>6.7.4</t>
  </si>
  <si>
    <t>6.7.5</t>
  </si>
  <si>
    <t>6.7.6</t>
  </si>
  <si>
    <t>6.7.7</t>
  </si>
  <si>
    <t>6.7.8</t>
  </si>
  <si>
    <t>6.7.9</t>
  </si>
  <si>
    <t>6.7.10</t>
  </si>
  <si>
    <t>6.7.11</t>
  </si>
  <si>
    <t>6.7.12</t>
  </si>
  <si>
    <t>6.7.13</t>
  </si>
  <si>
    <t>6.7.14</t>
  </si>
  <si>
    <t>6.7.15</t>
  </si>
  <si>
    <t>6.7.16</t>
  </si>
  <si>
    <t>6.7.17</t>
  </si>
  <si>
    <t>6.7.18</t>
  </si>
  <si>
    <t>6.7.19</t>
  </si>
  <si>
    <t>6.7.20</t>
  </si>
  <si>
    <t>6.7.21</t>
  </si>
  <si>
    <t>6.7.22</t>
  </si>
  <si>
    <t>6.7.23</t>
  </si>
  <si>
    <t>6.8</t>
  </si>
  <si>
    <t>6.8.1</t>
  </si>
  <si>
    <t>6.8.2</t>
  </si>
  <si>
    <t>6.9</t>
  </si>
  <si>
    <t>6.9.1</t>
  </si>
  <si>
    <t>6.9.2</t>
  </si>
  <si>
    <t>6.9.3</t>
  </si>
  <si>
    <t>6.9.4</t>
  </si>
  <si>
    <t>6.9.6</t>
  </si>
  <si>
    <t>6.9.7</t>
  </si>
  <si>
    <t>6.9.9</t>
  </si>
  <si>
    <t>6.9.14</t>
  </si>
  <si>
    <t>6.9.15</t>
  </si>
  <si>
    <t>6.9.16</t>
  </si>
  <si>
    <t>6.9.19</t>
  </si>
  <si>
    <t>6.9.20</t>
  </si>
  <si>
    <t>6.9.21</t>
  </si>
  <si>
    <t>6.10</t>
  </si>
  <si>
    <t>6.10.1</t>
  </si>
  <si>
    <t>6.10.2</t>
  </si>
  <si>
    <t>6.10.3</t>
  </si>
  <si>
    <t>6.10.4</t>
  </si>
  <si>
    <t>6.11</t>
  </si>
  <si>
    <t>6.11.1</t>
  </si>
  <si>
    <t>6.11.2</t>
  </si>
  <si>
    <t>6.11.3</t>
  </si>
  <si>
    <t>6.12</t>
  </si>
  <si>
    <t>6.12.1</t>
  </si>
  <si>
    <t>6.12.2</t>
  </si>
  <si>
    <t>6.13</t>
  </si>
  <si>
    <t>6.13.1</t>
  </si>
  <si>
    <t>6.14</t>
  </si>
  <si>
    <t>6.14.1</t>
  </si>
  <si>
    <t>6.15</t>
  </si>
  <si>
    <t>6.15.1</t>
  </si>
  <si>
    <t>6.15.2</t>
  </si>
  <si>
    <t>6.15.3</t>
  </si>
  <si>
    <t>6.15.4</t>
  </si>
  <si>
    <t>6.16</t>
  </si>
  <si>
    <t>6.16.1</t>
  </si>
  <si>
    <t>6.16.2</t>
  </si>
  <si>
    <t>6.17</t>
  </si>
  <si>
    <t>6.17.1</t>
  </si>
  <si>
    <t>LANÇAMENTO COM USO DE BALDES, ADENSAMENTO E ACABAMENTO DE CONCRETO EM ESTRUTURAS.</t>
  </si>
  <si>
    <t>6.2.6</t>
  </si>
  <si>
    <t>VERGA PRÉ-MOLDADA PARA JANELAS COM ATÉ 1,5 M DE VÃO</t>
  </si>
  <si>
    <t>6.4.3</t>
  </si>
  <si>
    <t>VERGA PRÉ-MOLDADA PARA PORTAS COM ATÉ 1,5 M DE VÃO.</t>
  </si>
  <si>
    <t>6.6.7</t>
  </si>
  <si>
    <t>JANELA DE AÇO DE CORRER, 4 FOLHAS, FIXAÇÃO COM ARGAMASSA, SEM VIDROS,PADRONIZADA</t>
  </si>
  <si>
    <t xml:space="preserve">UN </t>
  </si>
  <si>
    <t>74047/002</t>
  </si>
  <si>
    <t>BANCADA DE GRANITO CINZA POLIDO PARA PIA DE COZINHA 1,50 X 0,60 M - FORNECIMENTO E INSTALAÇÃO</t>
  </si>
  <si>
    <t>CUBA DE EMBUTIR DE AÇO INOXIDÁVEL MÉDIA - FORNECIMENTO E INSTALAÇÃO</t>
  </si>
  <si>
    <t>COTAÇÃO DE MERCADO RESERVATÓRIO ELEVADO - 10 M³</t>
  </si>
  <si>
    <t xml:space="preserve">Odir </t>
  </si>
  <si>
    <t>3373-7939</t>
  </si>
  <si>
    <t xml:space="preserve">Solange </t>
  </si>
  <si>
    <t>3354–1133</t>
  </si>
  <si>
    <t>Maciel</t>
  </si>
  <si>
    <t>3391-1160</t>
  </si>
  <si>
    <t>FABRICAÇÃO DE FÔRMA PARA VIGAS, COM MADEIRA SERRADA, E = 25 MM.</t>
  </si>
  <si>
    <t>ARMAÇÃO DE PILAR OU VIGA DE UMA ESTRUTURA CONVENCIONAL DE CONCRETO ARMADO EM UMA EDIFICAÇÃO TÉRREA OU SOBRADO UTILIZANDO AÇO CA-50 DE 10,0 MM</t>
  </si>
  <si>
    <t>6.8.3</t>
  </si>
  <si>
    <t>6.8.4</t>
  </si>
  <si>
    <t>6.8.5</t>
  </si>
  <si>
    <t>6.8.6</t>
  </si>
  <si>
    <t>6.8.7</t>
  </si>
  <si>
    <t>6.8.8</t>
  </si>
  <si>
    <t>VERNIZ SINTETICO EM MADEIRA, DUAS DEMAOS</t>
  </si>
  <si>
    <t>6.13.2</t>
  </si>
  <si>
    <t>6.13.3</t>
  </si>
  <si>
    <t>6.18</t>
  </si>
  <si>
    <t>6.18.1</t>
  </si>
  <si>
    <t xml:space="preserve">PINTURA LATEX, EM PAREDES INTERNAS, EM DUAS DEMÃOS, INCLUSIVE UMA DEMÃO DE LÍQUIDO SELADOR  ACRÍLICO </t>
  </si>
  <si>
    <t>73924/002</t>
  </si>
  <si>
    <t>74236/001</t>
  </si>
  <si>
    <t>74142/004</t>
  </si>
  <si>
    <t>CERCA COM MOUROES DE CONCRETO, SECAO "T" PONTA INCLINADA, 10X10CM, ESPACAMENTO DE 3M, CRAVADOS 0,5M, COM 11 FIOS DE ARAME FARPADO Nº 16</t>
  </si>
  <si>
    <t>TOTAL ITEM 07</t>
  </si>
  <si>
    <t>7.0</t>
  </si>
  <si>
    <t>7.1</t>
  </si>
  <si>
    <t>7.2</t>
  </si>
  <si>
    <t>74238/002</t>
  </si>
  <si>
    <t>PORTAO EM TELA ARAME GALVANIZADO N.12 MALHA 2" E MOLDURA EM TUBOS DE ACO COM DUAS FOLHAS DE ABRIR, INCLUSO FERRAGENS</t>
  </si>
  <si>
    <t>7.3</t>
  </si>
  <si>
    <t>VALOR TOTAL</t>
  </si>
  <si>
    <t xml:space="preserve">APARELHOS EM EUCALÍPTO TRATADO (ACADEMIA E PARQUE INFANTIL): </t>
  </si>
  <si>
    <t>CONSTRUÇÃO DA LANCHONETE E SANITÁRIO PCD</t>
  </si>
  <si>
    <t>LANCHONETE + SANITÁRIO PCD</t>
  </si>
  <si>
    <t>(( 8,00 X 8,00) +( 2,30 X 2,00)) X 0,40 = 27,44 M³</t>
  </si>
  <si>
    <t>(( 8,00 X 8,00) + (2,30 X 2,00) = 68,60 M²</t>
  </si>
  <si>
    <t>8 BROCAS DE 20 VESTIÁRIO E 4 BROCAS SANITÁRIOS COM 6,00 METROS CADA</t>
  </si>
  <si>
    <t>((8 X 8 + 2 + 3) X 0,3 X 0,4) + ((2,0 X 2 + 2,30 X 2) X 0,30 X 0,40) = 9,31 M³</t>
  </si>
  <si>
    <t>((8 X 8 + 2 + 3) X 0,3) + ((2,0 X 2 + 2,30 X 2) X 0,30) = 23,28 M²</t>
  </si>
  <si>
    <t>(((8 X 8 + 2 + 3) X 0,3) + ((2,0 X 2 + 2,30 X 2) X 0,30)) X 0,05 = 1,16 M³</t>
  </si>
  <si>
    <t>(8,00 X 4 X 2 + 5 X 2 + 3 X 2) X 0,20 + (2,30 X 2 + 2,00 X 2,00) X 0,20 = 17,71 M²</t>
  </si>
  <si>
    <t>PERIMETRO LANCHONETE - 40,00 M + PERIMETRO PCD - 8,60 M = 48,60 METROS - ( 48,60 /0,15 = 324 ESTRIBOS DE 15 X 20 = 0,80 CM CADA X 324 = 259,20 X 0,154 = 39,91 KG</t>
  </si>
  <si>
    <t>ARMAÇÃO DE ESTRUTURAS DE CONCRETO ARMADO, EXCETO VIGAS, PILARES, LAJES E FUNDAÇÕES, UTILIZANDO AÇO CA-50 DE 8,0 MM - MONTAGEM. AF_12/2015</t>
  </si>
  <si>
    <t>PERIMETRO LANCHONETE - 40,00 M + PERIMETRO PCD - 8,60 M = 48,60 METROS - ( 48,60 X 4 = 194,40 METROS X 0,395 KM/M = 76,78 KG</t>
  </si>
  <si>
    <t>PERIMETRO LANCHONETE - 40,00 M + PERIMETRO PCD - 8,60 M = 48,60 METROS X 0,15 M X 0,20 M= 1,46 M³</t>
  </si>
  <si>
    <t>6.3.5</t>
  </si>
  <si>
    <t>12 PILARES COM 3,00 METROS (15 X 20) + VIGAS DE RESPALDO COM 48,60 METROS (0,15 X 0,30) = 61,65 M²</t>
  </si>
  <si>
    <t>12 PILARES COM 3,00 METROS (15 X 20) + VIGAS DE RESPALDO COM 48,60 METROS (0,15 X 0,30) = 11,92 KG</t>
  </si>
  <si>
    <t>12 PILARES COM 3,00 METROS (15 X 20) + VIGAS DE RESPALDO COM 48,60 METROS (0,15 X 0,30) = 133,66</t>
  </si>
  <si>
    <t>12 PILARES COM 3,00 METROS (15 X 20) + VIGAS DE RESPALDO COM 48,60 METROS (0,15 X 0,30) = 3,27</t>
  </si>
  <si>
    <t>PERIMETRO LANCHONETE - 40,00 M + PERIMETRO PCD - 8,60 M = 48,60 METROS X 2,80 (PÉ DIREITO) = 136,08 M²</t>
  </si>
  <si>
    <t>JANELAS + TRANSPASSE DE 20 CM CADA LADO</t>
  </si>
  <si>
    <t>PORTAS MAIS TRANSPESSE DE 20 CM CADA LADO</t>
  </si>
  <si>
    <t>PERIMETRO LANCHONETE - 40,00 M + PERIMETRO PCD - 8,60 M = 48,60 METROS X 0,45 DE RECOBRIMENTO = 21,87 M²</t>
  </si>
  <si>
    <t>COZINHA 1,20 X 1,00 = 1,20 M²</t>
  </si>
  <si>
    <t>BW PCD = 0,60 X 0,40 + DESP 0,60 X 0,40 = 0,48 M²</t>
  </si>
  <si>
    <t>LANCHONETE 3 X 80 X 210 + BW 90 X 210 X 1 = 6,93 M²</t>
  </si>
  <si>
    <t xml:space="preserve">ÁREA DA COZINHA E BANHEIRO PCD - (5,70 X 2 + 3,00 X 2,00) X 2,80 + (2,00 X 2 + 2,30 X 2) X 2,80 = </t>
  </si>
  <si>
    <t>LANCHONETE + SANITÁRIO = ( 8,00 X 8,00 + 3,00 X 2,00) + ( 2,30 X 2,00) = 74,60 M</t>
  </si>
  <si>
    <t>6.13.4</t>
  </si>
  <si>
    <t>6.13.5</t>
  </si>
  <si>
    <t>INSTALAÇÃO DE TESOURA (INTEIRA OU MEIA), BIAPOIADA, EM MADEIRA NÃO APARELHADA, PARA VÃOS MAIORES OU IGUAIS A 3,0 M E MENORES QUE 6,0 M, INCLUSO IÇAMENTO</t>
  </si>
  <si>
    <t>INSTALAÇÃO DE TESOURA (INTEIRA OU MEIA), BIAPOIADA, EM MADEIRA NÃO APARELHADA, PARA VÃOS MAIORES OU IGUAIS A 6,0 M E MENORES QUE 8,0 M, INCLUSO IÇAMENTO.</t>
  </si>
  <si>
    <t>LANCHONETE ÁREA DOS PILARES DE MADEIRA</t>
  </si>
  <si>
    <t>BW PCD = 0,60 X 0,40 + DESP 0,60 X 0,40 = 0,48 M² + COZINHA 1,20 X 1,00 = 1,20 M²</t>
  </si>
  <si>
    <t>ÁREA DE REBOCO - ÁREA DE AJULEZO</t>
  </si>
  <si>
    <t>ÁREA DAS PORTAS E JANELAS</t>
  </si>
  <si>
    <t>6.18.2</t>
  </si>
  <si>
    <t>6.19</t>
  </si>
  <si>
    <t>6.19.1</t>
  </si>
  <si>
    <t>PEDESTRE 2 X 1,2 X 2 + VEICULOS 1 X 4 X 2,00 = 12,80 M²</t>
  </si>
  <si>
    <t>LANCHONETE + SANITÁRIO = ( 8,60 X 8,60 + 3,60 X 2,60) + ( 2,90 X 2,60) = 90,86 M</t>
  </si>
  <si>
    <t>LANCHONETE + SANITÁRIO = ( 16,00 + 2,40) + ( 2,3 + 2,4) = 23,10 M</t>
  </si>
  <si>
    <t>Engº Thiago Sanches Alves Corrêa</t>
  </si>
  <si>
    <t>CREA 11.027/D-MS</t>
  </si>
  <si>
    <t>Barraco de 5 x 2 = 10,00 m²</t>
  </si>
  <si>
    <t>PESO</t>
  </si>
  <si>
    <t>QUADRO DE COMPOSIÇÃO DE INVESTIMENTO</t>
  </si>
  <si>
    <t>Corguinho - MS, 15 de Maio de 2018</t>
  </si>
  <si>
    <t>BDI 26,41% - SINAPI MARÇO/2018</t>
  </si>
  <si>
    <t>ENCARGOS SOCIAIS DESONERADOS: 88,35%(HORA) 50,30%(MÊS) - COM DESONERAÇÃO</t>
  </si>
  <si>
    <t>CAIACAO EM MEIO FIO</t>
  </si>
  <si>
    <t>ESTACA ESCAVADA MECANICAMENTE, SEM FLUIDO ESTABILIZANTE, COM 25 CM DEDIÂMETRO, ATÉ 9 M DE COMPRIMENTO, CONCRETO LANÇADO POR CAMINHÃO BETONEIRA (EXCLUSIVE MOBILIZAÇÃO E DESMOBILIZAÇÃO)</t>
  </si>
  <si>
    <t>2 PORTÃO 2,5 X 2 = 5,00 X 2 = 10,00</t>
  </si>
  <si>
    <t>COTAÇÃO DE MERCADO LIXEIRAS 50 LITROS</t>
  </si>
  <si>
    <t>World Clean</t>
  </si>
  <si>
    <t>(11) 9.4032-7888</t>
  </si>
  <si>
    <t>Wagne</t>
  </si>
  <si>
    <t>(11) 4416-6868</t>
  </si>
  <si>
    <t>COMPRIMENTO 70,00 X LARGURA DE 3,5 + RETORNO DE 3,60 METROS DE RAIO X 2 = 290,25 M2 + ACESSO 35,43 X 2,00 + ACESSO ACEDEMIA 25,59 X 2,00 = 412,29 M²</t>
  </si>
  <si>
    <t>IDEM ITEM 4.1</t>
  </si>
  <si>
    <t>70,00 X 2 + RAIO DE 2,60 X 2 X 3,14 X 2 + 35,43 X 2 + 25,59 X 2= 294,70 M</t>
  </si>
  <si>
    <t>BASE RESERVATÓRIO EM CONCRETO</t>
  </si>
  <si>
    <t xml:space="preserve">CABO DE COBRE FLEXÍVEL ISOLADO, 10 MM², ANTI-CHAMA 450/750 V, PARA CIRCUITOS TERMINAIS - FORNECIMENTO E INSTALAÇÃO. AF_12/2015 </t>
  </si>
  <si>
    <t>TALUDES DIVERSOS</t>
  </si>
  <si>
    <t>ITEM 7.2 X 2 = 25,60 M²</t>
  </si>
  <si>
    <t>Attuale</t>
  </si>
  <si>
    <t>Muralha</t>
  </si>
  <si>
    <t>Minasul</t>
  </si>
  <si>
    <t>Meta</t>
  </si>
  <si>
    <t>Ricardo</t>
  </si>
  <si>
    <t xml:space="preserve">Cód. SINAPI </t>
  </si>
  <si>
    <t xml:space="preserve">DESCRIÇÃO DO INSUMO </t>
  </si>
  <si>
    <t>Unid.</t>
  </si>
  <si>
    <t>Coef.</t>
  </si>
  <si>
    <t>Custo. Unit.(R$)</t>
  </si>
  <si>
    <t xml:space="preserve">Total </t>
  </si>
  <si>
    <t>MARCENEIRO COM ENCARGOS COMPLEMENTARES</t>
  </si>
  <si>
    <t>H</t>
  </si>
  <si>
    <t>PINTOR COM ENCARGOS COMPLEMENTARES</t>
  </si>
  <si>
    <t>PEDREIRO COM ENCARGOS COMPLEMENTARES</t>
  </si>
  <si>
    <t>SERVENTE COM ENCARGOS COMPLEMENTARES</t>
  </si>
  <si>
    <t>MADEIRA ROLICA TRATADA, EUCALIPTO OU EQUIVALENTE DA REGIAO, H = 2,20 M, D = 16 A 19CM (PARA CERCA)</t>
  </si>
  <si>
    <t>MADEIRA PINHO SERRADA 3A QUALIDADE NAO APARELHADA</t>
  </si>
  <si>
    <t>CIMENTO PORTLAND COMPOSTO CP II-32</t>
  </si>
  <si>
    <t>AREIA MEDIA - POSTO JAZIDA / FORNECEDOR (SEM FRETE)</t>
  </si>
  <si>
    <t>PEDRA BRITADA N. 1 - POSTO PEDREIRA / FORNECEDOR (SEM FRETE)</t>
  </si>
  <si>
    <t>IMUNIZANTE INCOLOR PARA MADEIRAS APARELHADAS PENETROL OTTO BAUMGART OU EQUIVALENTE</t>
  </si>
  <si>
    <t>L</t>
  </si>
  <si>
    <t>BETONEIRA CAPACIDADE NOMINAL DE 400 L, CAPACIDADE DE MISTURA 280 L, MOTOR ELÉTRICO TRIFÁSICO POTÊNCIA DE 2 CV, SEM CARREGADOR - CHP DIURNO.AF_10/2014</t>
  </si>
  <si>
    <t>COMPRESSOR DE AR, VAZAO DE 10 PCM, RESERVATORIO 100 L, PRESSAO DE TRABALHO ENTRE 6,9 E 9,7 BAR, POTENCIA 2 HP, TENSAO 110/220 V - CHP DIURNO. AF_05/2017</t>
  </si>
  <si>
    <t>Valor total unitário - CPU.04</t>
  </si>
  <si>
    <t>Valor total unitário - CPU.02</t>
  </si>
  <si>
    <t>SINAPI MARÇO/2018</t>
  </si>
  <si>
    <t>Comp 02</t>
  </si>
  <si>
    <t>Comp 03</t>
  </si>
  <si>
    <t>Comp 04</t>
  </si>
  <si>
    <t>Comp 05</t>
  </si>
  <si>
    <t>Comp 06</t>
  </si>
  <si>
    <t>SERRALHEIRO COM ENCARGOS COMPLEMENTARES</t>
  </si>
  <si>
    <t>SOLDADOR COM ENCARGOS COMPLEMENTARES</t>
  </si>
  <si>
    <t>TUBO AÇO GALV C/ COSTURA NBR 5580 CLASSE LEVE DN 40MM ( 1.1/2" ) E = 3,00MM - 3,48KG/M COMPRIM= 1,0 A 1,5M, LIDER</t>
  </si>
  <si>
    <t>TINTA PROTETORA SUPERFICIE METALICA ALUMINIO</t>
  </si>
  <si>
    <t>SOLDA 50/50</t>
  </si>
  <si>
    <t>GRUPO DE SOLDAGEM COM GERADOR A DIESEL 60 CV PARA SOLDA ELÉTRICA, SOBRE 04 RODAS, COM MOTOR 4 CILINDROS 600 A - CHI DIURNO. AF_02/2016</t>
  </si>
  <si>
    <t>Valor total unitário - CPU.03</t>
  </si>
  <si>
    <t>TUBO ACO GALV C/ COSTURA NBR 5580 CLASSE LEVE DN 40MM ( 1.1/2" ) E = 3,00MM - 3,48KG/M COMPRIM= 1,0 A 1,5M, LIDER</t>
  </si>
  <si>
    <t>ABRACADEIRA EM ACO PARA AMARRACAO DE ELETRODUTOS, TIPO D, COM 1 1/2" E PARAFUSO DE FIXACAO</t>
  </si>
  <si>
    <t>CIMENTO PORTLAND COMPOSTO CP II-32 KG</t>
  </si>
  <si>
    <t>AJUDANTE DE PEDREIRO COM ENCARGOS COMPLEMENTARES</t>
  </si>
  <si>
    <t>CARPINTEIRO DE ESQUADRIA COM ENCARGOS COMPLEMENTARES</t>
  </si>
  <si>
    <t>CIMENTO PORTLAND CPII-32</t>
  </si>
  <si>
    <t>AREIA MÉDIA - POSTO JAZIDA /FORNECEDOR (SEM FRETE)</t>
  </si>
  <si>
    <t>PEDRA BRITADA Nº1-POSTO PEDREIRA / FORNECEDOR (SEM FRETE)</t>
  </si>
  <si>
    <t>MADEIRA ROLICA TRATADA, EUCALIPTO OU EQUIVALENTE DA REGIAO, H = 6,5 M, D = 25 A 29CM</t>
  </si>
  <si>
    <t>MADEIRA ROLICA TRATADA, EUCALIPTO OU EQUIVALENTE DA REGIAO, H = 6 M, D = 16 A 19 CM</t>
  </si>
  <si>
    <t>PARAFUSO ZINCADO ROSCA SOBERBA, CABECA SEXTAVADA, 5/16 " X 110 MM, PARA FIXACAO DE TELHA EM MADEIRA</t>
  </si>
  <si>
    <t>UM</t>
  </si>
  <si>
    <t xml:space="preserve">PARAFUSO ROSCA SOBERBA ZINCADO CABECA CHATA FENDA SIMPLES 5,5 X 65 MM (2.1/2 ") </t>
  </si>
  <si>
    <t>CORRENTE DE ELO CURTO COMUM, SOLDADA, GALVANIZADA, ESPESSURA DO ELO = 1/2" (12,5 MM)</t>
  </si>
  <si>
    <t>ABRACADEIRA EM ACO PARA AMARRACAO DE ELETRODUTOS, TIPO D, COM 1/2" E PARAFUSO DE FIXACAO</t>
  </si>
  <si>
    <t xml:space="preserve">LIXA EM FOLHA PARA PAREDE OU MADEIRA, NUMERO 120 (COR VERMELHA) </t>
  </si>
  <si>
    <t>CHAPA DE ACO GROSSA, ASTM A36, E = 1/2 " (12,70 MM) 99,59 KG/M2 KG CR 6,13</t>
  </si>
  <si>
    <t>RESINA ACRILICA BASE AGUA - COR BRANCA</t>
  </si>
  <si>
    <t>DISCO DE CORTE DIAMANTADO SEGMENTADO DIAMETRO DE 180 MM PARA ESMERILHADEIRA 7 "</t>
  </si>
  <si>
    <t>SERRA CIRCULAR DE BANCADA COM MOTOR ELÉTRICO POTÊNCIA DE 5HP, COM COIFA PARA DISCO 10" - CHP DIURNO. AF_08/2015</t>
  </si>
  <si>
    <t>Valor total unitário - CPU.05</t>
  </si>
  <si>
    <t xml:space="preserve">BARRA DE FERRO RETANGULAR, BARRA CHATA (QUALQUER DIMENSAO) </t>
  </si>
  <si>
    <t>CHUMBADOR DE ACO, DIAMETRO 1/2", COMPRIMENTO 75 MM</t>
  </si>
  <si>
    <t>Valor total unitário - CPU.06</t>
  </si>
  <si>
    <t>4.5</t>
  </si>
  <si>
    <t>Comp 07</t>
  </si>
  <si>
    <t>PLACA DE SINALIZAÇÃO</t>
  </si>
  <si>
    <t>11950</t>
  </si>
  <si>
    <t>88316</t>
  </si>
  <si>
    <t>BUCHA DE NYLON SEM ABA S6, COM PARAFUSO DE 4,20 X 40 MM EM ACO ZINCADO COM ROSCA SOBERBA, CABECA CHATA E FENDA PHILLIPS</t>
  </si>
  <si>
    <t>UN</t>
  </si>
  <si>
    <t>PLACA DE ACO ESMALTADA PARA  IDENTIFICACAO DE RUA, *45 CM X 20* CM</t>
  </si>
  <si>
    <t>74065/001</t>
  </si>
  <si>
    <t>PINTURA ESMALTE FOSCO PARA MADEIRA, DUAS DEMAOS, SOBRE FUNDO NIVELADOR BRANCO</t>
  </si>
  <si>
    <t>PINTURA ESMALTE BRILHANTE (2 DEMAOS) SOBRE SUPERFICIE METALICA, INCLUSIVE PROTECAO COM ZARCAO (1 DEMAO)</t>
  </si>
  <si>
    <t>MADEIRA ROLICA TRATADA, EUCALIPTO OU EQUIVALENTE DA REGIAO, H = 2,20 M, D = 16 A 19 CM (PARA CERCA)</t>
  </si>
  <si>
    <t xml:space="preserve">M  </t>
  </si>
  <si>
    <t>Valor total unitário - CPU.07</t>
  </si>
  <si>
    <t>CONFORME PROJETO 03/07</t>
  </si>
  <si>
    <t>4.6</t>
  </si>
  <si>
    <t>Comp 08</t>
  </si>
  <si>
    <t>BANCO E MESA DE CONCRETO</t>
  </si>
  <si>
    <t>CONFORME PROJETO 02/07</t>
  </si>
  <si>
    <t>Valor total unitário - CPU.08</t>
  </si>
  <si>
    <t>CONCRETO FCK = 15MPA, TRAÇO 1:3,4:3,5 (CIMENTO/ AREIA MÉDIA/ BRITA 1)- PREPARO MECÂNICO COM BETONEIRA 400 L.</t>
  </si>
  <si>
    <t>ESCAVAÇÃO MANUAL DE VALAS.</t>
  </si>
  <si>
    <t>BANCO E MESA DE CONCRETO - POR UNIDADE</t>
  </si>
  <si>
    <t>ARMAÇÃO DE PILAR OU VIGA DE UMA ESTRUTURA CONVENCIONAL DE CONCRETO ARMADO EM UM EDIFÍCIO DE MÚLTIPLOS PAVIMENTOS UTILIZANDO AÇO CA-50 DE 8,0MM</t>
  </si>
  <si>
    <t>TELA SOLDADA ARAME GALVANIZADO 12 BWG (2,77MM), MALHA 15 X 5 CM - TAPA MESA</t>
  </si>
  <si>
    <t>FABRICAÇÃO DE FÔRMA PARA PILARES E ESTRUTURAS SIMILARES</t>
  </si>
  <si>
    <t>CREA 11.027-D/MS</t>
  </si>
  <si>
    <t>PROJETO 07/07 - COMPRIMENTO = 368,46 - PORTÕES ( 1,20 X 2 + 4,00) = 362,06 METROS X 2,00 X 724,12 M²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</si>
</sst>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R$&quot;\ #,##0.00;\-&quot;R$&quot;\ #,##0.00"/>
    <numFmt numFmtId="8" formatCode="&quot;R$&quot;\ #,##0.00;[Red]\-&quot;R$&quot;\ #,##0.00"/>
    <numFmt numFmtId="41" formatCode="_-* #,##0_-;\-* #,##0_-;_-* &quot;-&quot;_-;_-@_-"/>
    <numFmt numFmtId="44" formatCode="_-&quot;R$&quot;\ * #,##0.00_-;\-&quot;R$&quot;\ * #,##0.00_-;_-&quot;R$&quot;\ * &quot;-&quot;??_-;_-@_-"/>
    <numFmt numFmtId="164" formatCode="&quot;R$&quot;\ #,##0.00"/>
    <numFmt numFmtId="165" formatCode="_(* #,##0.00_);_(* \(#,##0.00\);_(* &quot;-&quot;??_);_(@_)"/>
    <numFmt numFmtId="166" formatCode="#,##0.000_);[Red]\(#,##0.000\)"/>
    <numFmt numFmtId="167" formatCode="_(* #,##0_);_(* \(#,##0\);_(* &quot;-&quot;??_);_(@_)"/>
    <numFmt numFmtId="168" formatCode="0.000"/>
    <numFmt numFmtId="169" formatCode="#,##0.0000_);[Red]\(#,##0.0000\)"/>
    <numFmt numFmtId="170" formatCode="#,##0.00_ ;\-#,##0.00\ "/>
    <numFmt numFmtId="171" formatCode="#,##0.000_);\(#,##0.000\)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6"/>
      <name val="Arial"/>
      <family val="2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10"/>
      <color indexed="8"/>
      <name val="Calibri Light"/>
      <family val="2"/>
      <scheme val="major"/>
    </font>
    <font>
      <b/>
      <sz val="10"/>
      <color theme="1"/>
      <name val="Calibri Light"/>
      <scheme val="major"/>
    </font>
    <font>
      <sz val="10"/>
      <color theme="1"/>
      <name val="Calibri Light"/>
      <scheme val="major"/>
    </font>
    <font>
      <b/>
      <sz val="14"/>
      <color indexed="8"/>
      <name val="Arial"/>
      <family val="2"/>
    </font>
    <font>
      <sz val="14"/>
      <color indexed="8"/>
      <name val="Calibri"/>
      <family val="2"/>
    </font>
    <font>
      <sz val="10"/>
      <name val="Courier"/>
      <family val="3"/>
    </font>
    <font>
      <sz val="14"/>
      <name val="Arial"/>
      <family val="2"/>
    </font>
    <font>
      <sz val="16"/>
      <color indexed="8"/>
      <name val="Calibri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1"/>
      <color rgb="FF000000"/>
      <name val="Calibri"/>
      <family val="2"/>
    </font>
    <font>
      <b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8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2" fillId="0" borderId="0"/>
    <xf numFmtId="171" fontId="17" fillId="0" borderId="0"/>
    <xf numFmtId="41" fontId="17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0" fontId="23" fillId="0" borderId="0"/>
  </cellStyleXfs>
  <cellXfs count="456">
    <xf numFmtId="0" fontId="0" fillId="0" borderId="0" xfId="0"/>
    <xf numFmtId="0" fontId="5" fillId="0" borderId="0" xfId="0" applyFont="1" applyBorder="1" applyAlignment="1">
      <alignment horizontal="left" vertical="top"/>
    </xf>
    <xf numFmtId="8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vertical="top" wrapText="1"/>
    </xf>
    <xf numFmtId="164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" fontId="4" fillId="0" borderId="0" xfId="0" applyNumberFormat="1" applyFont="1" applyFill="1" applyBorder="1" applyAlignment="1"/>
    <xf numFmtId="0" fontId="4" fillId="0" borderId="0" xfId="0" applyFont="1"/>
    <xf numFmtId="10" fontId="4" fillId="0" borderId="1" xfId="0" applyNumberFormat="1" applyFont="1" applyBorder="1"/>
    <xf numFmtId="164" fontId="4" fillId="0" borderId="0" xfId="0" applyNumberFormat="1" applyFont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4" fontId="4" fillId="0" borderId="0" xfId="0" applyNumberFormat="1" applyFont="1" applyFill="1" applyBorder="1" applyAlignment="1">
      <alignment horizontal="right" vertical="center"/>
    </xf>
    <xf numFmtId="4" fontId="4" fillId="0" borderId="0" xfId="0" applyNumberFormat="1" applyFont="1" applyFill="1" applyBorder="1"/>
    <xf numFmtId="0" fontId="4" fillId="0" borderId="0" xfId="0" applyFont="1" applyBorder="1" applyAlignment="1">
      <alignment vertical="top"/>
    </xf>
    <xf numFmtId="164" fontId="4" fillId="0" borderId="1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vertical="center" wrapText="1"/>
    </xf>
    <xf numFmtId="0" fontId="4" fillId="0" borderId="6" xfId="0" applyFont="1" applyBorder="1"/>
    <xf numFmtId="0" fontId="4" fillId="0" borderId="7" xfId="0" applyFont="1" applyBorder="1"/>
    <xf numFmtId="0" fontId="4" fillId="0" borderId="2" xfId="0" applyFont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7" fontId="4" fillId="0" borderId="1" xfId="0" applyNumberFormat="1" applyFont="1" applyBorder="1"/>
    <xf numFmtId="0" fontId="5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4" fontId="4" fillId="0" borderId="0" xfId="0" applyNumberFormat="1" applyFont="1" applyFill="1" applyBorder="1" applyAlignment="1">
      <alignment vertical="center"/>
    </xf>
    <xf numFmtId="8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4" fontId="5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/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 wrapText="1"/>
    </xf>
    <xf numFmtId="4" fontId="4" fillId="0" borderId="15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center"/>
    </xf>
    <xf numFmtId="4" fontId="4" fillId="0" borderId="0" xfId="0" applyNumberFormat="1" applyFont="1" applyBorder="1" applyAlignment="1">
      <alignment horizontal="center" vertical="top"/>
    </xf>
    <xf numFmtId="4" fontId="5" fillId="0" borderId="0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/>
    </xf>
    <xf numFmtId="0" fontId="7" fillId="0" borderId="0" xfId="0" applyFont="1"/>
    <xf numFmtId="0" fontId="7" fillId="0" borderId="2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/>
    <xf numFmtId="0" fontId="6" fillId="3" borderId="2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4" fillId="0" borderId="0" xfId="1" applyFont="1" applyBorder="1" applyAlignment="1"/>
    <xf numFmtId="0" fontId="4" fillId="0" borderId="0" xfId="1" applyFont="1" applyAlignment="1"/>
    <xf numFmtId="0" fontId="4" fillId="0" borderId="0" xfId="1" applyFont="1" applyBorder="1"/>
    <xf numFmtId="0" fontId="4" fillId="0" borderId="0" xfId="1" applyFont="1"/>
    <xf numFmtId="0" fontId="4" fillId="0" borderId="31" xfId="1" applyFont="1" applyBorder="1"/>
    <xf numFmtId="0" fontId="4" fillId="0" borderId="32" xfId="1" applyFont="1" applyBorder="1"/>
    <xf numFmtId="0" fontId="4" fillId="0" borderId="33" xfId="1" applyFont="1" applyBorder="1"/>
    <xf numFmtId="0" fontId="4" fillId="0" borderId="34" xfId="1" applyFont="1" applyBorder="1"/>
    <xf numFmtId="0" fontId="4" fillId="0" borderId="35" xfId="1" applyFont="1" applyBorder="1"/>
    <xf numFmtId="0" fontId="4" fillId="0" borderId="36" xfId="1" applyFont="1" applyBorder="1" applyAlignment="1">
      <alignment horizontal="center"/>
    </xf>
    <xf numFmtId="49" fontId="4" fillId="0" borderId="37" xfId="1" applyNumberFormat="1" applyFont="1" applyBorder="1" applyAlignment="1">
      <alignment vertical="top"/>
    </xf>
    <xf numFmtId="0" fontId="3" fillId="0" borderId="41" xfId="1" applyFont="1" applyBorder="1" applyAlignment="1">
      <alignment horizontal="left" vertical="center"/>
    </xf>
    <xf numFmtId="0" fontId="4" fillId="0" borderId="39" xfId="1" applyFont="1" applyBorder="1" applyAlignment="1">
      <alignment horizontal="centerContinuous" vertical="center"/>
    </xf>
    <xf numFmtId="0" fontId="4" fillId="0" borderId="42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44" xfId="1" quotePrefix="1" applyFont="1" applyBorder="1" applyAlignment="1">
      <alignment horizontal="center"/>
    </xf>
    <xf numFmtId="0" fontId="4" fillId="0" borderId="35" xfId="1" applyFont="1" applyBorder="1" applyAlignment="1">
      <alignment horizontal="centerContinuous"/>
    </xf>
    <xf numFmtId="0" fontId="4" fillId="0" borderId="45" xfId="1" applyFont="1" applyBorder="1" applyAlignment="1">
      <alignment horizontal="center"/>
    </xf>
    <xf numFmtId="0" fontId="4" fillId="0" borderId="46" xfId="1" applyFont="1" applyBorder="1" applyAlignment="1">
      <alignment horizontal="centerContinuous"/>
    </xf>
    <xf numFmtId="0" fontId="4" fillId="0" borderId="47" xfId="1" applyFont="1" applyBorder="1" applyAlignment="1">
      <alignment horizontal="center"/>
    </xf>
    <xf numFmtId="0" fontId="4" fillId="0" borderId="48" xfId="1" applyFont="1" applyBorder="1"/>
    <xf numFmtId="0" fontId="4" fillId="0" borderId="10" xfId="1" applyFont="1" applyBorder="1"/>
    <xf numFmtId="0" fontId="4" fillId="0" borderId="10" xfId="1" applyFont="1" applyBorder="1" applyAlignment="1">
      <alignment horizontal="center"/>
    </xf>
    <xf numFmtId="0" fontId="4" fillId="0" borderId="10" xfId="1" quotePrefix="1" applyFont="1" applyBorder="1" applyAlignment="1">
      <alignment horizontal="center"/>
    </xf>
    <xf numFmtId="0" fontId="4" fillId="0" borderId="49" xfId="1" applyFont="1" applyBorder="1" applyAlignment="1">
      <alignment horizontal="center"/>
    </xf>
    <xf numFmtId="0" fontId="4" fillId="0" borderId="50" xfId="1" applyFont="1" applyBorder="1" applyAlignment="1">
      <alignment horizontal="center"/>
    </xf>
    <xf numFmtId="0" fontId="4" fillId="0" borderId="51" xfId="1" applyFont="1" applyBorder="1" applyAlignment="1">
      <alignment horizontal="justify"/>
    </xf>
    <xf numFmtId="165" fontId="4" fillId="0" borderId="51" xfId="2" applyFont="1" applyBorder="1" applyAlignment="1">
      <alignment horizontal="center"/>
    </xf>
    <xf numFmtId="40" fontId="4" fillId="0" borderId="13" xfId="2" applyNumberFormat="1" applyFont="1" applyBorder="1" applyAlignment="1">
      <alignment horizontal="center"/>
    </xf>
    <xf numFmtId="40" fontId="4" fillId="0" borderId="52" xfId="2" applyNumberFormat="1" applyFont="1" applyBorder="1"/>
    <xf numFmtId="0" fontId="4" fillId="0" borderId="13" xfId="1" applyFont="1" applyBorder="1" applyAlignment="1">
      <alignment horizontal="justify"/>
    </xf>
    <xf numFmtId="0" fontId="4" fillId="0" borderId="50" xfId="1" applyFont="1" applyBorder="1"/>
    <xf numFmtId="40" fontId="4" fillId="0" borderId="13" xfId="1" applyNumberFormat="1" applyFont="1" applyBorder="1" applyAlignment="1">
      <alignment horizontal="center"/>
    </xf>
    <xf numFmtId="0" fontId="4" fillId="0" borderId="37" xfId="1" applyFont="1" applyBorder="1"/>
    <xf numFmtId="0" fontId="4" fillId="0" borderId="40" xfId="1" applyFont="1" applyBorder="1" applyAlignment="1">
      <alignment horizontal="justify"/>
    </xf>
    <xf numFmtId="40" fontId="4" fillId="0" borderId="40" xfId="1" applyNumberFormat="1" applyFont="1" applyBorder="1" applyAlignment="1">
      <alignment horizontal="center"/>
    </xf>
    <xf numFmtId="40" fontId="4" fillId="0" borderId="53" xfId="2" applyNumberFormat="1" applyFont="1" applyBorder="1"/>
    <xf numFmtId="0" fontId="4" fillId="0" borderId="6" xfId="1" applyFont="1" applyBorder="1"/>
    <xf numFmtId="40" fontId="4" fillId="0" borderId="6" xfId="1" applyNumberFormat="1" applyFont="1" applyBorder="1"/>
    <xf numFmtId="40" fontId="4" fillId="0" borderId="0" xfId="1" applyNumberFormat="1" applyFont="1" applyBorder="1"/>
    <xf numFmtId="0" fontId="4" fillId="0" borderId="44" xfId="1" applyFont="1" applyBorder="1" applyAlignment="1">
      <alignment horizontal="center"/>
    </xf>
    <xf numFmtId="0" fontId="4" fillId="0" borderId="33" xfId="1" applyFont="1" applyBorder="1" applyAlignment="1">
      <alignment horizontal="center"/>
    </xf>
    <xf numFmtId="0" fontId="4" fillId="0" borderId="44" xfId="1" applyFont="1" applyBorder="1" applyAlignment="1">
      <alignment horizontal="centerContinuous"/>
    </xf>
    <xf numFmtId="0" fontId="4" fillId="0" borderId="9" xfId="1" applyFont="1" applyBorder="1"/>
    <xf numFmtId="0" fontId="4" fillId="0" borderId="9" xfId="1" applyFont="1" applyBorder="1" applyAlignment="1">
      <alignment horizontal="center"/>
    </xf>
    <xf numFmtId="0" fontId="4" fillId="0" borderId="12" xfId="1" applyFont="1" applyBorder="1" applyAlignment="1">
      <alignment horizontal="centerContinuous"/>
    </xf>
    <xf numFmtId="40" fontId="4" fillId="0" borderId="13" xfId="2" applyNumberFormat="1" applyFont="1" applyBorder="1" applyAlignment="1">
      <alignment horizontal="centerContinuous"/>
    </xf>
    <xf numFmtId="40" fontId="4" fillId="0" borderId="12" xfId="2" applyNumberFormat="1" applyFont="1" applyBorder="1"/>
    <xf numFmtId="166" fontId="4" fillId="0" borderId="0" xfId="2" applyNumberFormat="1" applyFont="1" applyBorder="1"/>
    <xf numFmtId="40" fontId="4" fillId="0" borderId="13" xfId="2" applyNumberFormat="1" applyFont="1" applyBorder="1"/>
    <xf numFmtId="0" fontId="4" fillId="0" borderId="13" xfId="1" applyFont="1" applyBorder="1"/>
    <xf numFmtId="40" fontId="4" fillId="0" borderId="0" xfId="2" applyNumberFormat="1" applyFont="1" applyBorder="1"/>
    <xf numFmtId="0" fontId="4" fillId="0" borderId="37" xfId="1" applyFont="1" applyBorder="1" applyAlignment="1">
      <alignment horizontal="center"/>
    </xf>
    <xf numFmtId="0" fontId="4" fillId="0" borderId="40" xfId="1" applyFont="1" applyBorder="1"/>
    <xf numFmtId="40" fontId="4" fillId="0" borderId="38" xfId="2" applyNumberFormat="1" applyFont="1" applyBorder="1"/>
    <xf numFmtId="40" fontId="4" fillId="0" borderId="40" xfId="2" applyNumberFormat="1" applyFont="1" applyBorder="1"/>
    <xf numFmtId="40" fontId="4" fillId="0" borderId="39" xfId="2" applyNumberFormat="1" applyFont="1" applyBorder="1"/>
    <xf numFmtId="166" fontId="4" fillId="0" borderId="39" xfId="2" applyNumberFormat="1" applyFont="1" applyBorder="1"/>
    <xf numFmtId="0" fontId="4" fillId="0" borderId="0" xfId="1" applyFont="1" applyBorder="1" applyAlignment="1">
      <alignment horizontal="center"/>
    </xf>
    <xf numFmtId="40" fontId="4" fillId="0" borderId="0" xfId="1" applyNumberFormat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165" fontId="4" fillId="0" borderId="0" xfId="2" applyFont="1" applyBorder="1"/>
    <xf numFmtId="167" fontId="4" fillId="0" borderId="0" xfId="2" applyNumberFormat="1" applyFont="1" applyBorder="1" applyAlignment="1"/>
    <xf numFmtId="167" fontId="4" fillId="0" borderId="0" xfId="2" applyNumberFormat="1" applyFont="1" applyBorder="1" applyAlignment="1">
      <alignment horizontal="center"/>
    </xf>
    <xf numFmtId="0" fontId="4" fillId="0" borderId="32" xfId="1" applyFont="1" applyBorder="1" applyAlignment="1">
      <alignment horizontal="centerContinuous"/>
    </xf>
    <xf numFmtId="0" fontId="4" fillId="0" borderId="33" xfId="1" applyFont="1" applyBorder="1" applyAlignment="1">
      <alignment horizontal="centerContinuous"/>
    </xf>
    <xf numFmtId="0" fontId="4" fillId="0" borderId="8" xfId="1" quotePrefix="1" applyFont="1" applyBorder="1" applyAlignment="1">
      <alignment horizontal="center"/>
    </xf>
    <xf numFmtId="0" fontId="4" fillId="0" borderId="9" xfId="1" quotePrefix="1" applyFont="1" applyBorder="1" applyAlignment="1">
      <alignment horizontal="center"/>
    </xf>
    <xf numFmtId="49" fontId="4" fillId="0" borderId="50" xfId="1" applyNumberFormat="1" applyFont="1" applyBorder="1" applyAlignment="1">
      <alignment horizontal="center" vertical="center" wrapText="1"/>
    </xf>
    <xf numFmtId="0" fontId="4" fillId="0" borderId="13" xfId="1" applyFont="1" applyFill="1" applyBorder="1" applyAlignment="1">
      <alignment wrapText="1"/>
    </xf>
    <xf numFmtId="40" fontId="4" fillId="0" borderId="13" xfId="2" applyNumberFormat="1" applyFont="1" applyFill="1" applyBorder="1" applyAlignment="1">
      <alignment horizontal="center" wrapText="1"/>
    </xf>
    <xf numFmtId="169" fontId="4" fillId="0" borderId="0" xfId="2" applyNumberFormat="1" applyFont="1" applyFill="1" applyBorder="1" applyAlignment="1">
      <alignment horizontal="centerContinuous" wrapText="1"/>
    </xf>
    <xf numFmtId="169" fontId="4" fillId="0" borderId="13" xfId="2" applyNumberFormat="1" applyFont="1" applyFill="1" applyBorder="1" applyAlignment="1">
      <alignment horizontal="centerContinuous" wrapText="1"/>
    </xf>
    <xf numFmtId="165" fontId="4" fillId="0" borderId="52" xfId="2" applyFont="1" applyFill="1" applyBorder="1" applyAlignment="1">
      <alignment wrapText="1"/>
    </xf>
    <xf numFmtId="0" fontId="4" fillId="0" borderId="0" xfId="1" applyFont="1" applyFill="1" applyBorder="1" applyAlignment="1">
      <alignment wrapText="1"/>
    </xf>
    <xf numFmtId="0" fontId="4" fillId="0" borderId="0" xfId="1" applyFont="1" applyFill="1" applyAlignment="1">
      <alignment wrapText="1"/>
    </xf>
    <xf numFmtId="0" fontId="4" fillId="0" borderId="51" xfId="1" applyFont="1" applyBorder="1" applyAlignment="1">
      <alignment horizontal="left" wrapText="1"/>
    </xf>
    <xf numFmtId="40" fontId="4" fillId="0" borderId="13" xfId="2" applyNumberFormat="1" applyFont="1" applyBorder="1" applyAlignment="1">
      <alignment horizontal="center" wrapText="1"/>
    </xf>
    <xf numFmtId="169" fontId="4" fillId="0" borderId="0" xfId="2" applyNumberFormat="1" applyFont="1" applyBorder="1" applyAlignment="1">
      <alignment horizontal="centerContinuous" wrapText="1"/>
    </xf>
    <xf numFmtId="169" fontId="4" fillId="0" borderId="13" xfId="2" applyNumberFormat="1" applyFont="1" applyBorder="1" applyAlignment="1">
      <alignment horizontal="centerContinuous" wrapText="1"/>
    </xf>
    <xf numFmtId="165" fontId="4" fillId="0" borderId="52" xfId="2" applyFont="1" applyBorder="1" applyAlignment="1">
      <alignment wrapText="1"/>
    </xf>
    <xf numFmtId="0" fontId="4" fillId="0" borderId="0" xfId="1" applyFont="1" applyBorder="1" applyAlignment="1">
      <alignment wrapText="1"/>
    </xf>
    <xf numFmtId="0" fontId="4" fillId="0" borderId="0" xfId="1" applyFont="1" applyAlignment="1">
      <alignment wrapText="1"/>
    </xf>
    <xf numFmtId="0" fontId="4" fillId="0" borderId="51" xfId="1" applyFont="1" applyBorder="1" applyAlignment="1">
      <alignment horizontal="left" vertical="center" wrapText="1"/>
    </xf>
    <xf numFmtId="0" fontId="4" fillId="0" borderId="51" xfId="1" applyFont="1" applyBorder="1" applyAlignment="1">
      <alignment horizontal="center" vertical="center" wrapText="1"/>
    </xf>
    <xf numFmtId="0" fontId="4" fillId="0" borderId="50" xfId="1" applyFont="1" applyBorder="1" applyAlignment="1">
      <alignment horizontal="center" vertical="center"/>
    </xf>
    <xf numFmtId="169" fontId="4" fillId="0" borderId="13" xfId="2" applyNumberFormat="1" applyFont="1" applyBorder="1" applyAlignment="1">
      <alignment horizontal="centerContinuous"/>
    </xf>
    <xf numFmtId="168" fontId="4" fillId="0" borderId="12" xfId="2" applyNumberFormat="1" applyFont="1" applyBorder="1"/>
    <xf numFmtId="168" fontId="4" fillId="0" borderId="13" xfId="1" applyNumberFormat="1" applyFont="1" applyBorder="1"/>
    <xf numFmtId="169" fontId="4" fillId="0" borderId="0" xfId="2" applyNumberFormat="1" applyFont="1" applyBorder="1" applyAlignment="1">
      <alignment horizontal="centerContinuous"/>
    </xf>
    <xf numFmtId="169" fontId="4" fillId="0" borderId="0" xfId="2" applyNumberFormat="1" applyFont="1" applyBorder="1"/>
    <xf numFmtId="169" fontId="4" fillId="0" borderId="13" xfId="2" applyNumberFormat="1" applyFont="1" applyBorder="1"/>
    <xf numFmtId="168" fontId="4" fillId="0" borderId="38" xfId="2" applyNumberFormat="1" applyFont="1" applyBorder="1"/>
    <xf numFmtId="168" fontId="4" fillId="0" borderId="40" xfId="1" applyNumberFormat="1" applyFont="1" applyBorder="1"/>
    <xf numFmtId="169" fontId="4" fillId="0" borderId="39" xfId="2" applyNumberFormat="1" applyFont="1" applyBorder="1"/>
    <xf numFmtId="169" fontId="4" fillId="0" borderId="40" xfId="2" applyNumberFormat="1" applyFont="1" applyBorder="1"/>
    <xf numFmtId="0" fontId="4" fillId="0" borderId="8" xfId="1" applyFont="1" applyBorder="1" applyAlignment="1">
      <alignment horizontal="center"/>
    </xf>
    <xf numFmtId="0" fontId="4" fillId="0" borderId="39" xfId="1" applyFont="1" applyBorder="1" applyAlignment="1">
      <alignment horizontal="center"/>
    </xf>
    <xf numFmtId="0" fontId="4" fillId="0" borderId="39" xfId="1" applyFont="1" applyBorder="1"/>
    <xf numFmtId="0" fontId="4" fillId="0" borderId="54" xfId="1" applyFont="1" applyBorder="1" applyAlignment="1">
      <alignment horizontal="left"/>
    </xf>
    <xf numFmtId="0" fontId="4" fillId="0" borderId="55" xfId="1" applyFont="1" applyBorder="1"/>
    <xf numFmtId="165" fontId="4" fillId="0" borderId="55" xfId="2" applyFont="1" applyBorder="1"/>
    <xf numFmtId="2" fontId="4" fillId="0" borderId="55" xfId="1" applyNumberFormat="1" applyFont="1" applyBorder="1"/>
    <xf numFmtId="40" fontId="4" fillId="0" borderId="55" xfId="2" applyNumberFormat="1" applyFont="1" applyBorder="1" applyAlignment="1">
      <alignment horizontal="right"/>
    </xf>
    <xf numFmtId="40" fontId="4" fillId="0" borderId="56" xfId="2" applyNumberFormat="1" applyFont="1" applyBorder="1"/>
    <xf numFmtId="10" fontId="4" fillId="0" borderId="55" xfId="3" applyNumberFormat="1" applyFont="1" applyBorder="1"/>
    <xf numFmtId="0" fontId="5" fillId="0" borderId="6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4" fillId="0" borderId="0" xfId="1" applyFont="1" applyBorder="1" applyAlignment="1">
      <alignment horizontal="justify" vertical="top"/>
    </xf>
    <xf numFmtId="4" fontId="5" fillId="0" borderId="4" xfId="0" applyNumberFormat="1" applyFont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0" fontId="7" fillId="0" borderId="26" xfId="0" applyFont="1" applyBorder="1" applyAlignment="1">
      <alignment wrapText="1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center" vertical="center"/>
    </xf>
    <xf numFmtId="4" fontId="7" fillId="0" borderId="28" xfId="0" applyNumberFormat="1" applyFont="1" applyBorder="1" applyAlignment="1">
      <alignment horizontal="center" vertical="center" wrapText="1"/>
    </xf>
    <xf numFmtId="0" fontId="4" fillId="0" borderId="29" xfId="0" applyFont="1" applyBorder="1" applyAlignment="1">
      <alignment wrapText="1"/>
    </xf>
    <xf numFmtId="0" fontId="7" fillId="2" borderId="26" xfId="0" applyFont="1" applyFill="1" applyBorder="1" applyAlignment="1">
      <alignment wrapText="1"/>
    </xf>
    <xf numFmtId="0" fontId="6" fillId="2" borderId="25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wrapText="1"/>
    </xf>
    <xf numFmtId="0" fontId="7" fillId="3" borderId="26" xfId="0" applyFont="1" applyFill="1" applyBorder="1" applyAlignment="1">
      <alignment horizontal="left" wrapText="1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 wrapText="1"/>
    </xf>
    <xf numFmtId="4" fontId="9" fillId="0" borderId="15" xfId="0" applyNumberFormat="1" applyFont="1" applyBorder="1" applyAlignment="1">
      <alignment horizontal="center"/>
    </xf>
    <xf numFmtId="0" fontId="9" fillId="0" borderId="0" xfId="0" applyFont="1"/>
    <xf numFmtId="0" fontId="9" fillId="4" borderId="0" xfId="0" applyFont="1" applyFill="1"/>
    <xf numFmtId="0" fontId="9" fillId="0" borderId="0" xfId="0" applyFont="1" applyBorder="1" applyAlignment="1">
      <alignment vertical="justify" wrapText="1"/>
    </xf>
    <xf numFmtId="0" fontId="9" fillId="3" borderId="0" xfId="0" applyFont="1" applyFill="1"/>
    <xf numFmtId="4" fontId="9" fillId="0" borderId="0" xfId="0" applyNumberFormat="1" applyFont="1" applyAlignment="1">
      <alignment horizontal="center"/>
    </xf>
    <xf numFmtId="4" fontId="9" fillId="0" borderId="0" xfId="0" applyNumberFormat="1" applyFont="1" applyBorder="1" applyAlignment="1">
      <alignment horizontal="center"/>
    </xf>
    <xf numFmtId="4" fontId="4" fillId="0" borderId="0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4" fillId="0" borderId="21" xfId="0" applyFont="1" applyBorder="1" applyAlignment="1">
      <alignment wrapText="1"/>
    </xf>
    <xf numFmtId="4" fontId="0" fillId="0" borderId="0" xfId="0" applyNumberFormat="1"/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1" xfId="0" applyNumberFormat="1" applyBorder="1"/>
    <xf numFmtId="4" fontId="9" fillId="0" borderId="0" xfId="0" applyNumberFormat="1" applyFont="1" applyBorder="1" applyAlignment="1">
      <alignment vertical="justify" wrapText="1"/>
    </xf>
    <xf numFmtId="10" fontId="9" fillId="0" borderId="0" xfId="0" applyNumberFormat="1" applyFont="1" applyAlignment="1">
      <alignment horizontal="center"/>
    </xf>
    <xf numFmtId="0" fontId="9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3" xfId="1" applyFont="1" applyBorder="1" applyAlignment="1">
      <alignment wrapText="1"/>
    </xf>
    <xf numFmtId="4" fontId="9" fillId="0" borderId="0" xfId="0" applyNumberFormat="1" applyFont="1"/>
    <xf numFmtId="4" fontId="9" fillId="4" borderId="0" xfId="0" applyNumberFormat="1" applyFont="1" applyFill="1"/>
    <xf numFmtId="4" fontId="9" fillId="3" borderId="0" xfId="0" applyNumberFormat="1" applyFont="1" applyFill="1"/>
    <xf numFmtId="10" fontId="9" fillId="0" borderId="16" xfId="0" applyNumberFormat="1" applyFont="1" applyBorder="1" applyAlignment="1">
      <alignment horizontal="center"/>
    </xf>
    <xf numFmtId="10" fontId="9" fillId="0" borderId="18" xfId="0" applyNumberFormat="1" applyFont="1" applyBorder="1" applyAlignment="1">
      <alignment horizontal="left" vertical="justify" wrapText="1"/>
    </xf>
    <xf numFmtId="10" fontId="10" fillId="0" borderId="18" xfId="0" applyNumberFormat="1" applyFont="1" applyBorder="1" applyAlignment="1">
      <alignment horizontal="left" vertical="justify" wrapText="1"/>
    </xf>
    <xf numFmtId="10" fontId="9" fillId="0" borderId="18" xfId="0" applyNumberFormat="1" applyFont="1" applyBorder="1" applyAlignment="1">
      <alignment vertical="justify" wrapText="1"/>
    </xf>
    <xf numFmtId="0" fontId="9" fillId="0" borderId="20" xfId="0" applyFont="1" applyBorder="1" applyAlignment="1">
      <alignment horizontal="left" vertical="justify" wrapText="1"/>
    </xf>
    <xf numFmtId="0" fontId="9" fillId="0" borderId="61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 wrapText="1"/>
    </xf>
    <xf numFmtId="0" fontId="9" fillId="0" borderId="57" xfId="0" applyFont="1" applyBorder="1" applyAlignment="1">
      <alignment vertical="center" wrapText="1"/>
    </xf>
    <xf numFmtId="0" fontId="9" fillId="0" borderId="57" xfId="0" applyFont="1" applyBorder="1" applyAlignment="1">
      <alignment horizontal="center" vertical="center"/>
    </xf>
    <xf numFmtId="4" fontId="9" fillId="0" borderId="57" xfId="0" applyNumberFormat="1" applyFont="1" applyFill="1" applyBorder="1" applyAlignment="1">
      <alignment horizontal="center" vertical="center"/>
    </xf>
    <xf numFmtId="4" fontId="9" fillId="0" borderId="57" xfId="0" applyNumberFormat="1" applyFont="1" applyBorder="1" applyAlignment="1">
      <alignment horizontal="center"/>
    </xf>
    <xf numFmtId="10" fontId="9" fillId="0" borderId="62" xfId="0" applyNumberFormat="1" applyFont="1" applyBorder="1" applyAlignment="1">
      <alignment horizontal="center"/>
    </xf>
    <xf numFmtId="0" fontId="10" fillId="0" borderId="57" xfId="0" applyFont="1" applyBorder="1" applyAlignment="1">
      <alignment horizontal="right" vertical="center" wrapText="1"/>
    </xf>
    <xf numFmtId="4" fontId="10" fillId="0" borderId="57" xfId="0" applyNumberFormat="1" applyFont="1" applyBorder="1" applyAlignment="1">
      <alignment horizontal="center" vertical="center"/>
    </xf>
    <xf numFmtId="10" fontId="10" fillId="0" borderId="62" xfId="0" applyNumberFormat="1" applyFont="1" applyBorder="1" applyAlignment="1">
      <alignment horizontal="center" vertical="center"/>
    </xf>
    <xf numFmtId="4" fontId="9" fillId="0" borderId="57" xfId="0" applyNumberFormat="1" applyFont="1" applyBorder="1" applyAlignment="1">
      <alignment horizontal="center" vertical="center"/>
    </xf>
    <xf numFmtId="0" fontId="10" fillId="2" borderId="61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 wrapText="1"/>
    </xf>
    <xf numFmtId="0" fontId="10" fillId="2" borderId="57" xfId="0" applyFont="1" applyFill="1" applyBorder="1" applyAlignment="1">
      <alignment horizontal="left" vertical="center" wrapText="1"/>
    </xf>
    <xf numFmtId="0" fontId="9" fillId="2" borderId="57" xfId="0" applyFont="1" applyFill="1" applyBorder="1" applyAlignment="1">
      <alignment horizontal="center" vertical="center"/>
    </xf>
    <xf numFmtId="4" fontId="9" fillId="2" borderId="57" xfId="0" applyNumberFormat="1" applyFont="1" applyFill="1" applyBorder="1" applyAlignment="1">
      <alignment horizontal="center" vertical="center"/>
    </xf>
    <xf numFmtId="4" fontId="9" fillId="2" borderId="57" xfId="0" applyNumberFormat="1" applyFont="1" applyFill="1" applyBorder="1" applyAlignment="1">
      <alignment horizontal="center"/>
    </xf>
    <xf numFmtId="4" fontId="10" fillId="2" borderId="57" xfId="0" applyNumberFormat="1" applyFont="1" applyFill="1" applyBorder="1" applyAlignment="1">
      <alignment horizontal="center" vertical="center"/>
    </xf>
    <xf numFmtId="10" fontId="10" fillId="2" borderId="62" xfId="0" applyNumberFormat="1" applyFont="1" applyFill="1" applyBorder="1" applyAlignment="1">
      <alignment horizontal="center" vertical="center"/>
    </xf>
    <xf numFmtId="0" fontId="10" fillId="3" borderId="61" xfId="0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left" vertical="center" wrapText="1"/>
    </xf>
    <xf numFmtId="0" fontId="9" fillId="3" borderId="57" xfId="0" applyFont="1" applyFill="1" applyBorder="1" applyAlignment="1">
      <alignment horizontal="center" vertical="center"/>
    </xf>
    <xf numFmtId="4" fontId="9" fillId="3" borderId="57" xfId="0" applyNumberFormat="1" applyFont="1" applyFill="1" applyBorder="1" applyAlignment="1">
      <alignment horizontal="center" vertical="center"/>
    </xf>
    <xf numFmtId="4" fontId="9" fillId="3" borderId="57" xfId="0" applyNumberFormat="1" applyFont="1" applyFill="1" applyBorder="1" applyAlignment="1">
      <alignment horizontal="center"/>
    </xf>
    <xf numFmtId="4" fontId="10" fillId="3" borderId="57" xfId="0" applyNumberFormat="1" applyFont="1" applyFill="1" applyBorder="1" applyAlignment="1">
      <alignment horizontal="center" vertical="center"/>
    </xf>
    <xf numFmtId="10" fontId="10" fillId="3" borderId="62" xfId="0" applyNumberFormat="1" applyFont="1" applyFill="1" applyBorder="1" applyAlignment="1">
      <alignment horizontal="center" vertical="center"/>
    </xf>
    <xf numFmtId="0" fontId="9" fillId="3" borderId="61" xfId="0" applyFont="1" applyFill="1" applyBorder="1" applyAlignment="1">
      <alignment horizontal="center" vertical="center"/>
    </xf>
    <xf numFmtId="0" fontId="11" fillId="0" borderId="57" xfId="0" applyFont="1" applyFill="1" applyBorder="1" applyAlignment="1">
      <alignment horizontal="center" vertical="top"/>
    </xf>
    <xf numFmtId="0" fontId="9" fillId="0" borderId="57" xfId="0" applyFont="1" applyBorder="1" applyAlignment="1">
      <alignment horizontal="center" wrapText="1"/>
    </xf>
    <xf numFmtId="0" fontId="9" fillId="0" borderId="57" xfId="0" applyFont="1" applyBorder="1" applyAlignment="1">
      <alignment horizontal="left" vertical="center" wrapText="1"/>
    </xf>
    <xf numFmtId="0" fontId="9" fillId="0" borderId="57" xfId="0" applyFont="1" applyBorder="1" applyAlignment="1">
      <alignment horizontal="center"/>
    </xf>
    <xf numFmtId="0" fontId="9" fillId="3" borderId="57" xfId="0" applyFont="1" applyFill="1" applyBorder="1" applyAlignment="1">
      <alignment horizontal="left" vertical="center" wrapText="1"/>
    </xf>
    <xf numFmtId="0" fontId="12" fillId="0" borderId="57" xfId="0" applyFont="1" applyFill="1" applyBorder="1" applyAlignment="1">
      <alignment horizontal="center"/>
    </xf>
    <xf numFmtId="0" fontId="11" fillId="0" borderId="57" xfId="0" applyFont="1" applyFill="1" applyBorder="1" applyAlignment="1">
      <alignment horizontal="center" vertical="justify"/>
    </xf>
    <xf numFmtId="0" fontId="10" fillId="3" borderId="57" xfId="0" applyFont="1" applyFill="1" applyBorder="1" applyAlignment="1">
      <alignment horizontal="right" vertical="center" wrapText="1"/>
    </xf>
    <xf numFmtId="4" fontId="10" fillId="0" borderId="57" xfId="0" applyNumberFormat="1" applyFont="1" applyBorder="1" applyAlignment="1">
      <alignment horizontal="center"/>
    </xf>
    <xf numFmtId="0" fontId="9" fillId="3" borderId="63" xfId="0" applyFont="1" applyFill="1" applyBorder="1" applyAlignment="1">
      <alignment horizontal="center" vertical="center"/>
    </xf>
    <xf numFmtId="0" fontId="9" fillId="3" borderId="64" xfId="0" applyFont="1" applyFill="1" applyBorder="1" applyAlignment="1">
      <alignment horizontal="center" vertical="center" wrapText="1"/>
    </xf>
    <xf numFmtId="0" fontId="10" fillId="3" borderId="64" xfId="0" applyFont="1" applyFill="1" applyBorder="1" applyAlignment="1">
      <alignment horizontal="right" vertical="center" wrapText="1"/>
    </xf>
    <xf numFmtId="0" fontId="11" fillId="0" borderId="64" xfId="0" applyFont="1" applyFill="1" applyBorder="1" applyAlignment="1">
      <alignment horizontal="center" vertical="justify"/>
    </xf>
    <xf numFmtId="4" fontId="9" fillId="3" borderId="64" xfId="0" applyNumberFormat="1" applyFont="1" applyFill="1" applyBorder="1" applyAlignment="1">
      <alignment horizontal="center" vertical="center"/>
    </xf>
    <xf numFmtId="4" fontId="9" fillId="3" borderId="64" xfId="0" applyNumberFormat="1" applyFont="1" applyFill="1" applyBorder="1" applyAlignment="1">
      <alignment horizontal="center"/>
    </xf>
    <xf numFmtId="4" fontId="10" fillId="0" borderId="64" xfId="0" applyNumberFormat="1" applyFont="1" applyBorder="1" applyAlignment="1">
      <alignment horizontal="center"/>
    </xf>
    <xf numFmtId="10" fontId="10" fillId="0" borderId="65" xfId="0" applyNumberFormat="1" applyFont="1" applyBorder="1" applyAlignment="1">
      <alignment horizontal="center"/>
    </xf>
    <xf numFmtId="4" fontId="9" fillId="0" borderId="21" xfId="0" applyNumberFormat="1" applyFont="1" applyBorder="1" applyAlignment="1">
      <alignment horizontal="left" vertical="justify" wrapText="1"/>
    </xf>
    <xf numFmtId="0" fontId="13" fillId="3" borderId="61" xfId="0" applyFont="1" applyFill="1" applyBorder="1" applyAlignment="1">
      <alignment horizontal="center" vertical="center"/>
    </xf>
    <xf numFmtId="0" fontId="13" fillId="3" borderId="57" xfId="0" applyFont="1" applyFill="1" applyBorder="1" applyAlignment="1">
      <alignment horizontal="left" vertical="center" wrapText="1"/>
    </xf>
    <xf numFmtId="0" fontId="14" fillId="3" borderId="57" xfId="0" applyFont="1" applyFill="1" applyBorder="1" applyAlignment="1">
      <alignment horizontal="left" vertical="center" wrapText="1"/>
    </xf>
    <xf numFmtId="0" fontId="10" fillId="0" borderId="8" xfId="0" applyFont="1" applyBorder="1" applyAlignment="1">
      <alignment vertical="top" wrapText="1"/>
    </xf>
    <xf numFmtId="0" fontId="10" fillId="2" borderId="58" xfId="0" applyFont="1" applyFill="1" applyBorder="1" applyAlignment="1">
      <alignment horizontal="center" vertical="center"/>
    </xf>
    <xf numFmtId="0" fontId="10" fillId="2" borderId="59" xfId="0" applyFont="1" applyFill="1" applyBorder="1" applyAlignment="1">
      <alignment horizontal="center" vertical="center" wrapText="1"/>
    </xf>
    <xf numFmtId="0" fontId="10" fillId="2" borderId="59" xfId="0" applyFont="1" applyFill="1" applyBorder="1" applyAlignment="1">
      <alignment horizontal="left" vertical="center" wrapText="1"/>
    </xf>
    <xf numFmtId="0" fontId="9" fillId="2" borderId="59" xfId="0" applyFont="1" applyFill="1" applyBorder="1" applyAlignment="1">
      <alignment horizontal="center" vertical="center"/>
    </xf>
    <xf numFmtId="4" fontId="9" fillId="2" borderId="59" xfId="0" applyNumberFormat="1" applyFont="1" applyFill="1" applyBorder="1" applyAlignment="1">
      <alignment horizontal="center" vertical="center"/>
    </xf>
    <xf numFmtId="4" fontId="9" fillId="2" borderId="59" xfId="0" applyNumberFormat="1" applyFont="1" applyFill="1" applyBorder="1" applyAlignment="1">
      <alignment horizontal="center"/>
    </xf>
    <xf numFmtId="10" fontId="9" fillId="2" borderId="60" xfId="0" applyNumberFormat="1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 vertical="center" wrapText="1"/>
    </xf>
    <xf numFmtId="0" fontId="10" fillId="2" borderId="57" xfId="0" applyFont="1" applyFill="1" applyBorder="1" applyAlignment="1">
      <alignment vertical="center" wrapText="1"/>
    </xf>
    <xf numFmtId="10" fontId="9" fillId="2" borderId="62" xfId="0" applyNumberFormat="1" applyFont="1" applyFill="1" applyBorder="1" applyAlignment="1">
      <alignment horizontal="center"/>
    </xf>
    <xf numFmtId="10" fontId="4" fillId="0" borderId="1" xfId="0" applyNumberFormat="1" applyFont="1" applyBorder="1" applyAlignment="1">
      <alignment horizontal="right" vertical="center" wrapText="1"/>
    </xf>
    <xf numFmtId="10" fontId="5" fillId="0" borderId="1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0" fillId="0" borderId="10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wrapText="1"/>
    </xf>
    <xf numFmtId="0" fontId="6" fillId="3" borderId="0" xfId="0" applyFont="1" applyFill="1"/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center" vertical="center"/>
    </xf>
    <xf numFmtId="4" fontId="7" fillId="2" borderId="23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wrapText="1"/>
    </xf>
    <xf numFmtId="0" fontId="6" fillId="3" borderId="26" xfId="0" applyFont="1" applyFill="1" applyBorder="1" applyAlignment="1">
      <alignment horizontal="left" wrapText="1"/>
    </xf>
    <xf numFmtId="0" fontId="4" fillId="0" borderId="25" xfId="0" applyFont="1" applyBorder="1" applyAlignment="1">
      <alignment horizontal="center" vertical="center"/>
    </xf>
    <xf numFmtId="10" fontId="4" fillId="0" borderId="26" xfId="0" applyNumberFormat="1" applyFont="1" applyBorder="1"/>
    <xf numFmtId="0" fontId="4" fillId="0" borderId="26" xfId="0" applyFont="1" applyBorder="1"/>
    <xf numFmtId="10" fontId="5" fillId="0" borderId="26" xfId="0" applyNumberFormat="1" applyFont="1" applyBorder="1" applyAlignment="1">
      <alignment horizontal="center"/>
    </xf>
    <xf numFmtId="4" fontId="5" fillId="0" borderId="28" xfId="0" applyNumberFormat="1" applyFont="1" applyBorder="1" applyAlignment="1">
      <alignment horizontal="center"/>
    </xf>
    <xf numFmtId="10" fontId="5" fillId="0" borderId="28" xfId="0" applyNumberFormat="1" applyFont="1" applyBorder="1" applyAlignment="1">
      <alignment horizontal="center"/>
    </xf>
    <xf numFmtId="10" fontId="5" fillId="0" borderId="29" xfId="0" applyNumberFormat="1" applyFont="1" applyBorder="1" applyAlignment="1">
      <alignment horizontal="center"/>
    </xf>
    <xf numFmtId="10" fontId="4" fillId="0" borderId="5" xfId="0" applyNumberFormat="1" applyFont="1" applyBorder="1"/>
    <xf numFmtId="0" fontId="4" fillId="2" borderId="28" xfId="0" applyNumberFormat="1" applyFont="1" applyFill="1" applyBorder="1" applyAlignment="1">
      <alignment horizontal="center" vertical="center" wrapText="1"/>
    </xf>
    <xf numFmtId="0" fontId="4" fillId="2" borderId="29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Border="1"/>
    <xf numFmtId="10" fontId="4" fillId="0" borderId="2" xfId="0" applyNumberFormat="1" applyFont="1" applyBorder="1"/>
    <xf numFmtId="10" fontId="5" fillId="0" borderId="2" xfId="0" applyNumberFormat="1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4" fontId="5" fillId="0" borderId="66" xfId="0" applyNumberFormat="1" applyFont="1" applyBorder="1" applyAlignment="1">
      <alignment horizontal="center"/>
    </xf>
    <xf numFmtId="4" fontId="4" fillId="0" borderId="25" xfId="0" applyNumberFormat="1" applyFont="1" applyBorder="1"/>
    <xf numFmtId="4" fontId="4" fillId="0" borderId="25" xfId="0" applyNumberFormat="1" applyFont="1" applyBorder="1" applyAlignment="1">
      <alignment horizontal="right" vertical="center"/>
    </xf>
    <xf numFmtId="0" fontId="4" fillId="0" borderId="25" xfId="0" applyFont="1" applyBorder="1"/>
    <xf numFmtId="170" fontId="5" fillId="0" borderId="25" xfId="0" applyNumberFormat="1" applyFont="1" applyBorder="1" applyAlignment="1">
      <alignment horizontal="center"/>
    </xf>
    <xf numFmtId="4" fontId="5" fillId="0" borderId="25" xfId="0" applyNumberFormat="1" applyFont="1" applyBorder="1" applyAlignment="1">
      <alignment horizontal="center"/>
    </xf>
    <xf numFmtId="4" fontId="5" fillId="0" borderId="26" xfId="0" applyNumberFormat="1" applyFont="1" applyBorder="1" applyAlignment="1">
      <alignment horizontal="center"/>
    </xf>
    <xf numFmtId="4" fontId="5" fillId="0" borderId="27" xfId="0" applyNumberFormat="1" applyFont="1" applyBorder="1" applyAlignment="1">
      <alignment horizontal="center"/>
    </xf>
    <xf numFmtId="4" fontId="5" fillId="0" borderId="29" xfId="0" applyNumberFormat="1" applyFont="1" applyBorder="1" applyAlignment="1">
      <alignment horizontal="center"/>
    </xf>
    <xf numFmtId="0" fontId="4" fillId="2" borderId="27" xfId="0" applyNumberFormat="1" applyFont="1" applyFill="1" applyBorder="1" applyAlignment="1">
      <alignment horizontal="center" vertical="center" wrapText="1"/>
    </xf>
    <xf numFmtId="4" fontId="4" fillId="0" borderId="10" xfId="0" applyNumberFormat="1" applyFont="1" applyBorder="1"/>
    <xf numFmtId="4" fontId="4" fillId="0" borderId="4" xfId="0" applyNumberFormat="1" applyFont="1" applyBorder="1" applyAlignment="1">
      <alignment horizontal="right" vertical="center"/>
    </xf>
    <xf numFmtId="4" fontId="4" fillId="0" borderId="4" xfId="0" applyNumberFormat="1" applyFont="1" applyBorder="1"/>
    <xf numFmtId="7" fontId="4" fillId="0" borderId="4" xfId="0" applyNumberFormat="1" applyFont="1" applyBorder="1"/>
    <xf numFmtId="170" fontId="5" fillId="0" borderId="4" xfId="0" applyNumberFormat="1" applyFont="1" applyBorder="1" applyAlignment="1">
      <alignment horizontal="center"/>
    </xf>
    <xf numFmtId="4" fontId="5" fillId="0" borderId="70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4" fontId="4" fillId="0" borderId="23" xfId="0" applyNumberFormat="1" applyFont="1" applyBorder="1" applyAlignment="1">
      <alignment horizontal="center" vertical="center"/>
    </xf>
    <xf numFmtId="10" fontId="4" fillId="0" borderId="24" xfId="0" applyNumberFormat="1" applyFont="1" applyBorder="1" applyAlignment="1">
      <alignment horizontal="center" vertical="center"/>
    </xf>
    <xf numFmtId="10" fontId="4" fillId="0" borderId="26" xfId="0" applyNumberFormat="1" applyFont="1" applyBorder="1" applyAlignment="1">
      <alignment horizontal="center" vertical="center"/>
    </xf>
    <xf numFmtId="4" fontId="4" fillId="0" borderId="26" xfId="0" applyNumberFormat="1" applyFont="1" applyBorder="1" applyAlignment="1">
      <alignment horizontal="center" vertical="center"/>
    </xf>
    <xf numFmtId="4" fontId="4" fillId="0" borderId="22" xfId="0" applyNumberFormat="1" applyFont="1" applyBorder="1"/>
    <xf numFmtId="10" fontId="4" fillId="0" borderId="23" xfId="0" applyNumberFormat="1" applyFont="1" applyBorder="1"/>
    <xf numFmtId="10" fontId="4" fillId="0" borderId="24" xfId="0" applyNumberFormat="1" applyFont="1" applyBorder="1"/>
    <xf numFmtId="7" fontId="4" fillId="0" borderId="25" xfId="0" applyNumberFormat="1" applyFont="1" applyBorder="1"/>
    <xf numFmtId="7" fontId="4" fillId="0" borderId="26" xfId="0" applyNumberFormat="1" applyFont="1" applyBorder="1"/>
    <xf numFmtId="7" fontId="4" fillId="0" borderId="2" xfId="0" applyNumberFormat="1" applyFont="1" applyBorder="1"/>
    <xf numFmtId="4" fontId="4" fillId="0" borderId="0" xfId="0" applyNumberFormat="1" applyFont="1"/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15" fillId="2" borderId="71" xfId="7" applyFont="1" applyFill="1" applyBorder="1" applyAlignment="1">
      <alignment horizontal="center" vertical="center"/>
    </xf>
    <xf numFmtId="0" fontId="15" fillId="5" borderId="72" xfId="7" applyFont="1" applyFill="1" applyBorder="1" applyAlignment="1">
      <alignment horizontal="center" vertical="center" wrapText="1"/>
    </xf>
    <xf numFmtId="0" fontId="15" fillId="5" borderId="71" xfId="7" applyFont="1" applyFill="1" applyBorder="1" applyAlignment="1">
      <alignment horizontal="center" vertical="center" wrapText="1"/>
    </xf>
    <xf numFmtId="0" fontId="15" fillId="5" borderId="74" xfId="7" applyFont="1" applyFill="1" applyBorder="1" applyAlignment="1">
      <alignment horizontal="center" vertical="center"/>
    </xf>
    <xf numFmtId="0" fontId="16" fillId="3" borderId="75" xfId="7" applyFont="1" applyFill="1" applyBorder="1" applyAlignment="1">
      <alignment horizontal="center" vertical="center"/>
    </xf>
    <xf numFmtId="1" fontId="18" fillId="3" borderId="1" xfId="8" applyNumberFormat="1" applyFont="1" applyFill="1" applyBorder="1" applyAlignment="1">
      <alignment horizontal="center" vertical="center" wrapText="1"/>
    </xf>
    <xf numFmtId="41" fontId="18" fillId="3" borderId="1" xfId="9" applyFont="1" applyFill="1" applyBorder="1" applyAlignment="1">
      <alignment horizontal="left" vertical="center" wrapText="1"/>
    </xf>
    <xf numFmtId="0" fontId="19" fillId="3" borderId="1" xfId="7" applyFont="1" applyFill="1" applyBorder="1" applyAlignment="1">
      <alignment horizontal="center" vertical="center"/>
    </xf>
    <xf numFmtId="2" fontId="16" fillId="3" borderId="1" xfId="7" applyNumberFormat="1" applyFont="1" applyFill="1" applyBorder="1" applyAlignment="1">
      <alignment horizontal="center" vertical="center"/>
    </xf>
    <xf numFmtId="164" fontId="20" fillId="3" borderId="5" xfId="7" applyNumberFormat="1" applyFont="1" applyFill="1" applyBorder="1" applyAlignment="1">
      <alignment horizontal="center" vertical="center"/>
    </xf>
    <xf numFmtId="164" fontId="20" fillId="3" borderId="76" xfId="7" applyNumberFormat="1" applyFont="1" applyFill="1" applyBorder="1" applyAlignment="1">
      <alignment horizontal="center" vertical="center"/>
    </xf>
    <xf numFmtId="164" fontId="22" fillId="6" borderId="79" xfId="11" applyNumberFormat="1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justify"/>
    </xf>
    <xf numFmtId="0" fontId="18" fillId="0" borderId="0" xfId="0" applyFont="1"/>
    <xf numFmtId="164" fontId="15" fillId="6" borderId="79" xfId="11" applyNumberFormat="1" applyFont="1" applyFill="1" applyBorder="1" applyAlignment="1">
      <alignment horizontal="center" vertical="center"/>
    </xf>
    <xf numFmtId="0" fontId="20" fillId="3" borderId="1" xfId="7" applyFont="1" applyFill="1" applyBorder="1" applyAlignment="1">
      <alignment horizontal="center" vertical="center"/>
    </xf>
    <xf numFmtId="4" fontId="20" fillId="7" borderId="1" xfId="13" applyNumberFormat="1" applyFont="1" applyFill="1" applyBorder="1" applyAlignment="1">
      <alignment horizontal="center" vertical="center" wrapText="1"/>
    </xf>
    <xf numFmtId="2" fontId="20" fillId="3" borderId="1" xfId="7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4" fillId="0" borderId="30" xfId="0" applyFont="1" applyBorder="1" applyAlignment="1">
      <alignment horizontal="left" vertical="justify" wrapText="1"/>
    </xf>
    <xf numFmtId="0" fontId="4" fillId="0" borderId="51" xfId="0" applyFont="1" applyBorder="1" applyAlignment="1">
      <alignment horizontal="left" vertical="justify" wrapText="1"/>
    </xf>
    <xf numFmtId="0" fontId="4" fillId="0" borderId="5" xfId="0" applyFont="1" applyBorder="1" applyAlignment="1">
      <alignment horizontal="left" vertical="justify" wrapText="1"/>
    </xf>
    <xf numFmtId="4" fontId="5" fillId="0" borderId="1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0" borderId="30" xfId="0" applyFont="1" applyBorder="1" applyAlignment="1">
      <alignment horizontal="left" vertical="justify" wrapText="1"/>
    </xf>
    <xf numFmtId="0" fontId="10" fillId="0" borderId="51" xfId="0" applyFont="1" applyBorder="1" applyAlignment="1">
      <alignment horizontal="left" vertical="justify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justify" wrapText="1"/>
    </xf>
    <xf numFmtId="0" fontId="10" fillId="0" borderId="0" xfId="0" applyFont="1" applyBorder="1" applyAlignment="1">
      <alignment horizontal="left" vertical="justify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28" xfId="0" applyNumberFormat="1" applyFont="1" applyFill="1" applyBorder="1" applyAlignment="1">
      <alignment horizontal="center" vertical="center" wrapText="1"/>
    </xf>
    <xf numFmtId="10" fontId="10" fillId="2" borderId="26" xfId="0" applyNumberFormat="1" applyFont="1" applyFill="1" applyBorder="1" applyAlignment="1">
      <alignment horizontal="center" vertical="center"/>
    </xf>
    <xf numFmtId="10" fontId="10" fillId="2" borderId="29" xfId="0" applyNumberFormat="1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justify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justify" wrapText="1"/>
    </xf>
    <xf numFmtId="0" fontId="9" fillId="0" borderId="20" xfId="0" applyFont="1" applyBorder="1" applyAlignment="1">
      <alignment horizontal="left" vertical="justify" wrapText="1"/>
    </xf>
    <xf numFmtId="0" fontId="10" fillId="0" borderId="0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/>
    </xf>
    <xf numFmtId="0" fontId="4" fillId="2" borderId="22" xfId="0" applyNumberFormat="1" applyFont="1" applyFill="1" applyBorder="1" applyAlignment="1">
      <alignment horizontal="center" vertical="center" wrapText="1"/>
    </xf>
    <xf numFmtId="0" fontId="4" fillId="2" borderId="23" xfId="0" applyNumberFormat="1" applyFont="1" applyFill="1" applyBorder="1" applyAlignment="1">
      <alignment horizontal="center" vertical="center" wrapText="1"/>
    </xf>
    <xf numFmtId="0" fontId="4" fillId="2" borderId="24" xfId="0" applyNumberFormat="1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164" fontId="4" fillId="2" borderId="24" xfId="0" applyNumberFormat="1" applyFont="1" applyFill="1" applyBorder="1" applyAlignment="1">
      <alignment horizontal="center" vertical="center" wrapText="1"/>
    </xf>
    <xf numFmtId="164" fontId="4" fillId="2" borderId="29" xfId="0" applyNumberFormat="1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0" fontId="5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164" fontId="4" fillId="2" borderId="23" xfId="0" applyNumberFormat="1" applyFont="1" applyFill="1" applyBorder="1" applyAlignment="1">
      <alignment horizontal="center" vertical="center" wrapText="1"/>
    </xf>
    <xf numFmtId="164" fontId="4" fillId="2" borderId="28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justify" wrapText="1"/>
    </xf>
    <xf numFmtId="0" fontId="4" fillId="0" borderId="0" xfId="0" applyFont="1" applyBorder="1" applyAlignment="1">
      <alignment horizontal="left" vertical="justify" wrapText="1"/>
    </xf>
    <xf numFmtId="0" fontId="5" fillId="2" borderId="69" xfId="0" applyFont="1" applyFill="1" applyBorder="1" applyAlignment="1">
      <alignment horizontal="center" vertical="center" wrapText="1"/>
    </xf>
    <xf numFmtId="0" fontId="5" fillId="2" borderId="67" xfId="0" applyFont="1" applyFill="1" applyBorder="1" applyAlignment="1">
      <alignment horizontal="center" vertical="center" wrapText="1"/>
    </xf>
    <xf numFmtId="0" fontId="5" fillId="2" borderId="68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5" fillId="2" borderId="28" xfId="0" applyNumberFormat="1" applyFont="1" applyFill="1" applyBorder="1" applyAlignment="1">
      <alignment horizontal="center" vertical="center"/>
    </xf>
    <xf numFmtId="4" fontId="5" fillId="2" borderId="26" xfId="0" applyNumberFormat="1" applyFont="1" applyFill="1" applyBorder="1" applyAlignment="1">
      <alignment horizontal="center" vertical="center" wrapText="1"/>
    </xf>
    <xf numFmtId="4" fontId="5" fillId="2" borderId="29" xfId="0" applyNumberFormat="1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justify" wrapText="1"/>
    </xf>
    <xf numFmtId="0" fontId="4" fillId="0" borderId="19" xfId="0" applyFont="1" applyBorder="1" applyAlignment="1">
      <alignment horizontal="left" vertical="justify" wrapText="1"/>
    </xf>
    <xf numFmtId="0" fontId="4" fillId="0" borderId="20" xfId="0" applyFont="1" applyBorder="1" applyAlignment="1">
      <alignment horizontal="left" vertical="justify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168" fontId="4" fillId="0" borderId="12" xfId="2" applyNumberFormat="1" applyFont="1" applyBorder="1" applyAlignment="1">
      <alignment horizontal="center"/>
    </xf>
    <xf numFmtId="168" fontId="4" fillId="0" borderId="13" xfId="2" applyNumberFormat="1" applyFont="1" applyBorder="1" applyAlignment="1">
      <alignment horizontal="center"/>
    </xf>
    <xf numFmtId="168" fontId="4" fillId="0" borderId="12" xfId="1" applyNumberFormat="1" applyFont="1" applyBorder="1" applyAlignment="1">
      <alignment horizontal="center" wrapText="1"/>
    </xf>
    <xf numFmtId="168" fontId="4" fillId="0" borderId="13" xfId="1" applyNumberFormat="1" applyFont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4" fillId="0" borderId="38" xfId="1" applyFont="1" applyBorder="1" applyAlignment="1">
      <alignment horizontal="left" wrapText="1"/>
    </xf>
    <xf numFmtId="0" fontId="4" fillId="0" borderId="39" xfId="1" applyFont="1" applyBorder="1" applyAlignment="1">
      <alignment horizontal="left" wrapText="1"/>
    </xf>
    <xf numFmtId="0" fontId="4" fillId="0" borderId="40" xfId="1" applyFont="1" applyBorder="1" applyAlignment="1">
      <alignment horizontal="left" wrapText="1"/>
    </xf>
    <xf numFmtId="0" fontId="4" fillId="0" borderId="32" xfId="1" applyFont="1" applyBorder="1" applyAlignment="1">
      <alignment horizontal="center"/>
    </xf>
    <xf numFmtId="0" fontId="4" fillId="0" borderId="44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168" fontId="4" fillId="0" borderId="11" xfId="1" applyNumberFormat="1" applyFont="1" applyBorder="1" applyAlignment="1">
      <alignment horizontal="center" wrapText="1"/>
    </xf>
    <xf numFmtId="168" fontId="4" fillId="0" borderId="7" xfId="1" applyNumberFormat="1" applyFont="1" applyBorder="1" applyAlignment="1">
      <alignment horizontal="center" wrapText="1"/>
    </xf>
    <xf numFmtId="0" fontId="15" fillId="2" borderId="72" xfId="7" applyFont="1" applyFill="1" applyBorder="1" applyAlignment="1">
      <alignment horizontal="left" vertical="center" wrapText="1"/>
    </xf>
    <xf numFmtId="0" fontId="15" fillId="2" borderId="73" xfId="7" applyFont="1" applyFill="1" applyBorder="1" applyAlignment="1">
      <alignment horizontal="left" vertical="center" wrapText="1"/>
    </xf>
    <xf numFmtId="0" fontId="15" fillId="2" borderId="74" xfId="7" applyFont="1" applyFill="1" applyBorder="1" applyAlignment="1">
      <alignment horizontal="left" vertical="center" wrapText="1"/>
    </xf>
    <xf numFmtId="0" fontId="15" fillId="5" borderId="72" xfId="7" applyFont="1" applyFill="1" applyBorder="1" applyAlignment="1">
      <alignment horizontal="center" vertical="center"/>
    </xf>
    <xf numFmtId="0" fontId="15" fillId="5" borderId="74" xfId="7" applyFont="1" applyFill="1" applyBorder="1" applyAlignment="1">
      <alignment horizontal="center" vertical="center"/>
    </xf>
    <xf numFmtId="0" fontId="21" fillId="6" borderId="19" xfId="10" applyFont="1" applyFill="1" applyBorder="1" applyAlignment="1">
      <alignment horizontal="center" vertical="center"/>
    </xf>
    <xf numFmtId="0" fontId="21" fillId="6" borderId="20" xfId="10" applyFont="1" applyFill="1" applyBorder="1" applyAlignment="1">
      <alignment horizontal="center" vertical="center"/>
    </xf>
    <xf numFmtId="0" fontId="21" fillId="6" borderId="77" xfId="10" applyFont="1" applyFill="1" applyBorder="1" applyAlignment="1">
      <alignment horizontal="center" vertical="center"/>
    </xf>
    <xf numFmtId="0" fontId="22" fillId="6" borderId="78" xfId="1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0" fillId="6" borderId="19" xfId="10" applyFont="1" applyFill="1" applyBorder="1" applyAlignment="1">
      <alignment horizontal="center" vertical="center"/>
    </xf>
    <xf numFmtId="0" fontId="20" fillId="6" borderId="20" xfId="10" applyFont="1" applyFill="1" applyBorder="1" applyAlignment="1">
      <alignment horizontal="center" vertical="center"/>
    </xf>
    <xf numFmtId="0" fontId="20" fillId="6" borderId="77" xfId="10" applyFont="1" applyFill="1" applyBorder="1" applyAlignment="1">
      <alignment horizontal="center" vertical="center"/>
    </xf>
    <xf numFmtId="0" fontId="15" fillId="6" borderId="78" xfId="10" applyFont="1" applyFill="1" applyBorder="1" applyAlignment="1">
      <alignment horizontal="center" vertical="center"/>
    </xf>
    <xf numFmtId="0" fontId="24" fillId="0" borderId="0" xfId="0" applyFont="1" applyAlignment="1">
      <alignment horizontal="right"/>
    </xf>
    <xf numFmtId="0" fontId="20" fillId="7" borderId="80" xfId="13" applyFont="1" applyFill="1" applyBorder="1" applyAlignment="1">
      <alignment horizontal="center" vertical="center" wrapText="1"/>
    </xf>
    <xf numFmtId="0" fontId="20" fillId="7" borderId="81" xfId="13" applyFont="1" applyFill="1" applyBorder="1" applyAlignment="1">
      <alignment horizontal="center" vertical="center" wrapText="1"/>
    </xf>
    <xf numFmtId="0" fontId="20" fillId="7" borderId="82" xfId="13" applyFont="1" applyFill="1" applyBorder="1" applyAlignment="1">
      <alignment horizontal="center" vertical="center" wrapText="1"/>
    </xf>
    <xf numFmtId="0" fontId="20" fillId="7" borderId="4" xfId="13" applyFont="1" applyFill="1" applyBorder="1" applyAlignment="1">
      <alignment horizontal="center" vertical="center" wrapText="1"/>
    </xf>
    <xf numFmtId="0" fontId="20" fillId="3" borderId="82" xfId="7" applyFont="1" applyFill="1" applyBorder="1" applyAlignment="1">
      <alignment horizontal="center" vertical="center"/>
    </xf>
    <xf numFmtId="0" fontId="20" fillId="3" borderId="4" xfId="7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4">
    <cellStyle name="Excel Built-in Normal" xfId="4" xr:uid="{00000000-0005-0000-0000-000000000000}"/>
    <cellStyle name="Moeda 4 3" xfId="11" xr:uid="{00000000-0005-0000-0000-000001000000}"/>
    <cellStyle name="Normal" xfId="0" builtinId="0"/>
    <cellStyle name="Normal 16" xfId="6" xr:uid="{00000000-0005-0000-0000-000003000000}"/>
    <cellStyle name="Normal 2" xfId="1" xr:uid="{00000000-0005-0000-0000-000004000000}"/>
    <cellStyle name="Normal 3" xfId="12" xr:uid="{00000000-0005-0000-0000-000005000000}"/>
    <cellStyle name="Normal 6 16" xfId="7" xr:uid="{00000000-0005-0000-0000-000006000000}"/>
    <cellStyle name="Normal 6 3 14" xfId="10" xr:uid="{00000000-0005-0000-0000-000007000000}"/>
    <cellStyle name="Normal_Orçamento - possível reprogramação" xfId="8" xr:uid="{00000000-0005-0000-0000-000008000000}"/>
    <cellStyle name="Normal_Pesquisa no referencial 10 de maio de 2013" xfId="13" xr:uid="{00000000-0005-0000-0000-000009000000}"/>
    <cellStyle name="Porcentagem 2" xfId="3" xr:uid="{00000000-0005-0000-0000-00000A000000}"/>
    <cellStyle name="Separador de milhares [0] 2" xfId="9" xr:uid="{00000000-0005-0000-0000-00000B000000}"/>
    <cellStyle name="Separador de milhares 3" xfId="2" xr:uid="{00000000-0005-0000-0000-00000C000000}"/>
    <cellStyle name="Separador de milhares 52 2" xfId="5" xr:uid="{00000000-0005-0000-0000-00000D000000}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59531</xdr:rowOff>
    </xdr:from>
    <xdr:to>
      <xdr:col>1</xdr:col>
      <xdr:colOff>409875</xdr:colOff>
      <xdr:row>0</xdr:row>
      <xdr:rowOff>707531</xdr:rowOff>
    </xdr:to>
    <xdr:pic>
      <xdr:nvPicPr>
        <xdr:cNvPr id="2" name="Picture 4" descr="Brasão de Corguinho P&amp;B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59531"/>
          <a:ext cx="648000" cy="648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226218</xdr:colOff>
      <xdr:row>0</xdr:row>
      <xdr:rowOff>59531</xdr:rowOff>
    </xdr:from>
    <xdr:to>
      <xdr:col>1</xdr:col>
      <xdr:colOff>874218</xdr:colOff>
      <xdr:row>0</xdr:row>
      <xdr:rowOff>707531</xdr:rowOff>
    </xdr:to>
    <xdr:pic>
      <xdr:nvPicPr>
        <xdr:cNvPr id="2" name="Picture 4" descr="Brasão de Corguinho P&amp;B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218" y="59531"/>
          <a:ext cx="648000" cy="648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178594</xdr:colOff>
      <xdr:row>0</xdr:row>
      <xdr:rowOff>59532</xdr:rowOff>
    </xdr:from>
    <xdr:to>
      <xdr:col>1</xdr:col>
      <xdr:colOff>445594</xdr:colOff>
      <xdr:row>0</xdr:row>
      <xdr:rowOff>707532</xdr:rowOff>
    </xdr:to>
    <xdr:pic>
      <xdr:nvPicPr>
        <xdr:cNvPr id="2" name="Picture 4" descr="Brasão de Corguinho P&amp;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594" y="59532"/>
          <a:ext cx="648000" cy="648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</xdr:colOff>
      <xdr:row>0</xdr:row>
      <xdr:rowOff>69056</xdr:rowOff>
    </xdr:from>
    <xdr:to>
      <xdr:col>0</xdr:col>
      <xdr:colOff>444500</xdr:colOff>
      <xdr:row>0</xdr:row>
      <xdr:rowOff>438150</xdr:rowOff>
    </xdr:to>
    <xdr:pic>
      <xdr:nvPicPr>
        <xdr:cNvPr id="2" name="Picture 4" descr="Brasão de Corguinho P&amp;B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" y="69056"/>
          <a:ext cx="443707" cy="36909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efeitura%20de%20Porto%20Murtinho\Projetos%202017\Sudeco\Convenio%20806078%20-%20Trecho%20II\Sanches\1&#186;%20Encaminhamento\Proposta%20Sudeco%20Simone\Planilha%20Nova%20Proposta%20Piso%20Sextavado%20-%20Trecho%20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çamentária"/>
      <sheetName val="Cronograma"/>
      <sheetName val="Comp 01"/>
      <sheetName val="Comp 02"/>
      <sheetName val="Comp 03"/>
    </sheetNames>
    <sheetDataSet>
      <sheetData sheetId="0" refreshError="1">
        <row r="43">
          <cell r="C43" t="str">
            <v>MEIO-FIO COM SARJETA, CONCRETO FCK=20MPA, SEÇÃO 615 CM2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showZeros="0" view="pageBreakPreview" zoomScale="60" zoomScaleNormal="80" workbookViewId="0">
      <pane ySplit="7" topLeftCell="A8" activePane="bottomLeft" state="frozen"/>
      <selection pane="bottomLeft" activeCell="D25" sqref="D25"/>
    </sheetView>
  </sheetViews>
  <sheetFormatPr defaultColWidth="9.109375" defaultRowHeight="13.2" x14ac:dyDescent="0.25"/>
  <cols>
    <col min="1" max="1" width="5.6640625" style="7" customWidth="1"/>
    <col min="2" max="2" width="75.6640625" style="7" customWidth="1"/>
    <col min="3" max="4" width="20.6640625" style="26" customWidth="1"/>
    <col min="5" max="16384" width="9.109375" style="7"/>
  </cols>
  <sheetData>
    <row r="1" spans="1:4" ht="59.25" customHeight="1" x14ac:dyDescent="0.25">
      <c r="A1" s="275"/>
      <c r="B1" s="276" t="s">
        <v>23</v>
      </c>
      <c r="C1" s="276"/>
      <c r="D1" s="277"/>
    </row>
    <row r="2" spans="1:4" ht="13.8" x14ac:dyDescent="0.25">
      <c r="A2" s="354" t="str">
        <f>Planilha!A2</f>
        <v>OBRA: REVITALIZAÇÃO DO BALNEARIO MUNICIPAL - 2º ETAPA
PROGRAMA: TURISMO NO BRASIL
EMPREENDIMENTO: APOIO A PROJETO DE INFRAESTRUTURA TURÍSTICA - Infraestrutura em Orla Fluvial - Revitalização do Balneário
Barrinha em Corguinho - MS - 2ª ETAPA
AGENTE PROMOTOR: PREFEITURA MUNICIPAL DE CORGUINHO</v>
      </c>
      <c r="B2" s="354"/>
      <c r="C2" s="359" t="s">
        <v>162</v>
      </c>
      <c r="D2" s="359"/>
    </row>
    <row r="3" spans="1:4" ht="13.8" x14ac:dyDescent="0.25">
      <c r="A3" s="355"/>
      <c r="B3" s="355"/>
      <c r="C3" s="360" t="s">
        <v>259</v>
      </c>
      <c r="D3" s="360"/>
    </row>
    <row r="4" spans="1:4" ht="12.75" customHeight="1" x14ac:dyDescent="0.25">
      <c r="A4" s="355"/>
      <c r="B4" s="355"/>
      <c r="C4" s="361" t="s">
        <v>163</v>
      </c>
      <c r="D4" s="362"/>
    </row>
    <row r="5" spans="1:4" ht="41.25" customHeight="1" x14ac:dyDescent="0.25">
      <c r="A5" s="356"/>
      <c r="B5" s="356"/>
      <c r="C5" s="262"/>
      <c r="D5" s="278"/>
    </row>
    <row r="6" spans="1:4" ht="20.100000000000001" customHeight="1" x14ac:dyDescent="0.25">
      <c r="A6" s="358" t="s">
        <v>449</v>
      </c>
      <c r="B6" s="358"/>
      <c r="C6" s="358"/>
      <c r="D6" s="358"/>
    </row>
    <row r="7" spans="1:4" ht="39.9" customHeight="1" x14ac:dyDescent="0.25">
      <c r="A7" s="279" t="s">
        <v>0</v>
      </c>
      <c r="B7" s="279" t="s">
        <v>2</v>
      </c>
      <c r="C7" s="25" t="s">
        <v>402</v>
      </c>
      <c r="D7" s="25" t="s">
        <v>166</v>
      </c>
    </row>
    <row r="8" spans="1:4" x14ac:dyDescent="0.25">
      <c r="A8" s="5">
        <v>1</v>
      </c>
      <c r="B8" s="20" t="str">
        <f>Planilha!C10</f>
        <v>SERVIÇOS GERAIS DE CANTEIRO</v>
      </c>
      <c r="C8" s="15">
        <f>Planilha!G13</f>
        <v>10074.94</v>
      </c>
      <c r="D8" s="273">
        <f>C8/$C$16</f>
        <v>3.3583876656469995E-2</v>
      </c>
    </row>
    <row r="9" spans="1:4" x14ac:dyDescent="0.25">
      <c r="A9" s="5">
        <v>2</v>
      </c>
      <c r="B9" s="20" t="str">
        <f>Planilha!C14</f>
        <v>PROJETOS EXECUTIVOS</v>
      </c>
      <c r="C9" s="15">
        <f>Planilha!G16</f>
        <v>4500</v>
      </c>
      <c r="D9" s="273">
        <f t="shared" ref="D9:D14" si="0">C9/$C$16</f>
        <v>1.5000332007348427E-2</v>
      </c>
    </row>
    <row r="10" spans="1:4" x14ac:dyDescent="0.25">
      <c r="A10" s="5">
        <v>3</v>
      </c>
      <c r="B10" s="20" t="str">
        <f>Planilha!C17</f>
        <v>REVITALIZALÇÃO DA QUADRA DE AREIA</v>
      </c>
      <c r="C10" s="15">
        <f>Planilha!G27</f>
        <v>75035.37</v>
      </c>
      <c r="D10" s="273">
        <f t="shared" si="0"/>
        <v>0.25012343606538484</v>
      </c>
    </row>
    <row r="11" spans="1:4" x14ac:dyDescent="0.25">
      <c r="A11" s="5">
        <v>4</v>
      </c>
      <c r="B11" s="20" t="str">
        <f>Planilha!C28</f>
        <v>PISTA DE CAMINHADA</v>
      </c>
      <c r="C11" s="15">
        <f>Planilha!G35</f>
        <v>33560.729999999996</v>
      </c>
      <c r="D11" s="273">
        <f t="shared" si="0"/>
        <v>0.11187157609088412</v>
      </c>
    </row>
    <row r="12" spans="1:4" x14ac:dyDescent="0.25">
      <c r="A12" s="5">
        <v>5</v>
      </c>
      <c r="B12" s="20" t="str">
        <f>Planilha!C36</f>
        <v xml:space="preserve">APARELHOS EM EUCALÍPTO TRATADO (ACADEMIA E PARQUE INFANTIL): </v>
      </c>
      <c r="C12" s="15">
        <f>Planilha!G42</f>
        <v>11815.99</v>
      </c>
      <c r="D12" s="273">
        <f t="shared" si="0"/>
        <v>3.9387505110113095E-2</v>
      </c>
    </row>
    <row r="13" spans="1:4" x14ac:dyDescent="0.25">
      <c r="A13" s="5">
        <v>6</v>
      </c>
      <c r="B13" s="20" t="str">
        <f>Planilha!C43</f>
        <v>CONSTRUÇÃO DA LANCHONETE E SANITÁRIO PCD</v>
      </c>
      <c r="C13" s="15">
        <f>Planilha!G158</f>
        <v>128700.27000000002</v>
      </c>
      <c r="D13" s="273">
        <f t="shared" si="0"/>
        <v>0.42901039543008551</v>
      </c>
    </row>
    <row r="14" spans="1:4" x14ac:dyDescent="0.25">
      <c r="A14" s="5">
        <v>7</v>
      </c>
      <c r="B14" s="20" t="str">
        <f>Planilha!C159</f>
        <v>CERCAMENTO DA ÁREA DO BALNEÁRIO</v>
      </c>
      <c r="C14" s="15">
        <f>Planilha!G163</f>
        <v>36306.06</v>
      </c>
      <c r="D14" s="273">
        <f t="shared" si="0"/>
        <v>0.12102287863971387</v>
      </c>
    </row>
    <row r="15" spans="1:4" x14ac:dyDescent="0.25">
      <c r="A15" s="5"/>
      <c r="B15" s="20"/>
      <c r="C15" s="15">
        <v>0</v>
      </c>
      <c r="D15" s="273"/>
    </row>
    <row r="16" spans="1:4" x14ac:dyDescent="0.25">
      <c r="A16" s="357" t="s">
        <v>22</v>
      </c>
      <c r="B16" s="357"/>
      <c r="C16" s="4">
        <f>SUM(C8:C15)</f>
        <v>299993.36000000004</v>
      </c>
      <c r="D16" s="274">
        <f>SUM(D8:D15)</f>
        <v>0.99999999999999978</v>
      </c>
    </row>
    <row r="18" spans="1:10" x14ac:dyDescent="0.25">
      <c r="A18" s="333" t="str">
        <f>Planilha!A166</f>
        <v>Corguinho - MS, 15 de Maio de 2018</v>
      </c>
      <c r="B18" s="11"/>
      <c r="C18" s="353"/>
      <c r="D18" s="353"/>
      <c r="E18" s="32"/>
      <c r="F18" s="6"/>
      <c r="G18" s="6"/>
      <c r="H18" s="6"/>
      <c r="I18" s="6"/>
      <c r="J18" s="6"/>
    </row>
    <row r="19" spans="1:10" x14ac:dyDescent="0.25">
      <c r="A19" s="10"/>
      <c r="B19" s="11"/>
      <c r="C19" s="10"/>
      <c r="D19" s="11"/>
      <c r="E19" s="12"/>
      <c r="F19" s="13"/>
      <c r="G19" s="13"/>
      <c r="H19" s="13"/>
      <c r="I19" s="11"/>
      <c r="J19" s="11"/>
    </row>
    <row r="20" spans="1:10" x14ac:dyDescent="0.25">
      <c r="A20" s="10"/>
      <c r="B20" s="11"/>
      <c r="C20" s="190"/>
      <c r="D20" s="11"/>
      <c r="E20" s="12"/>
      <c r="F20" s="13"/>
      <c r="G20" s="13"/>
      <c r="H20" s="13"/>
      <c r="I20" s="11"/>
      <c r="J20" s="11"/>
    </row>
    <row r="21" spans="1:10" x14ac:dyDescent="0.25">
      <c r="A21" s="10"/>
      <c r="B21" s="11" t="str">
        <f>Planilha!C171</f>
        <v>Engº Thiago Sanches Alves Corrêa</v>
      </c>
      <c r="C21" s="10"/>
      <c r="D21" s="11"/>
      <c r="E21" s="12"/>
      <c r="F21" s="13"/>
      <c r="G21" s="13"/>
      <c r="H21" s="13"/>
      <c r="I21" s="11"/>
      <c r="J21" s="11"/>
    </row>
    <row r="22" spans="1:10" x14ac:dyDescent="0.25">
      <c r="A22" s="10"/>
      <c r="B22" s="11" t="str">
        <f>Planilha!C172</f>
        <v>CREA 11.027/D-MS</v>
      </c>
      <c r="C22" s="10"/>
      <c r="D22" s="11"/>
      <c r="E22" s="12"/>
      <c r="F22" s="13"/>
      <c r="G22" s="13"/>
      <c r="H22" s="13"/>
      <c r="I22" s="11"/>
      <c r="J22" s="11"/>
    </row>
    <row r="23" spans="1:10" x14ac:dyDescent="0.25">
      <c r="A23" s="10"/>
      <c r="B23" s="11"/>
      <c r="C23" s="10"/>
      <c r="D23" s="11"/>
      <c r="E23" s="12"/>
      <c r="F23" s="13"/>
      <c r="G23" s="13"/>
      <c r="H23" s="13"/>
      <c r="I23" s="11"/>
      <c r="J23" s="11"/>
    </row>
    <row r="24" spans="1:10" x14ac:dyDescent="0.25">
      <c r="A24" s="23"/>
      <c r="B24" s="29"/>
      <c r="C24" s="29"/>
      <c r="D24" s="27"/>
      <c r="E24" s="29"/>
      <c r="F24" s="14"/>
      <c r="G24" s="14"/>
      <c r="H24" s="14"/>
      <c r="I24" s="11"/>
      <c r="J24" s="11"/>
    </row>
    <row r="25" spans="1:10" ht="12.75" customHeight="1" x14ac:dyDescent="0.25">
      <c r="A25" s="1"/>
      <c r="B25" s="1"/>
      <c r="C25" s="1"/>
      <c r="D25" s="31"/>
      <c r="E25" s="30"/>
      <c r="F25" s="3"/>
      <c r="G25" s="3"/>
      <c r="H25" s="3"/>
      <c r="I25" s="11"/>
      <c r="J25" s="11"/>
    </row>
    <row r="26" spans="1:10" x14ac:dyDescent="0.25">
      <c r="A26" s="23"/>
      <c r="B26" s="1"/>
      <c r="C26" s="29"/>
      <c r="D26" s="31"/>
      <c r="E26" s="29"/>
      <c r="F26" s="14"/>
      <c r="G26" s="14"/>
      <c r="H26" s="14"/>
      <c r="I26" s="11"/>
      <c r="J26" s="11"/>
    </row>
  </sheetData>
  <mergeCells count="7">
    <mergeCell ref="C18:D18"/>
    <mergeCell ref="A2:B5"/>
    <mergeCell ref="A16:B16"/>
    <mergeCell ref="A6:D6"/>
    <mergeCell ref="C2:D2"/>
    <mergeCell ref="C3:D3"/>
    <mergeCell ref="C4:D4"/>
  </mergeCells>
  <conditionalFormatting sqref="G24:H24">
    <cfRule type="cellIs" dxfId="4" priority="3" stopIfTrue="1" operator="equal">
      <formula>0</formula>
    </cfRule>
  </conditionalFormatting>
  <conditionalFormatting sqref="G26:H26">
    <cfRule type="cellIs" dxfId="3" priority="2" stopIfTrue="1" operator="equal">
      <formula>0</formula>
    </cfRule>
  </conditionalFormatting>
  <conditionalFormatting sqref="E19:E23">
    <cfRule type="cellIs" dxfId="2" priority="1" stopIfTrue="1" operator="equal">
      <formula>0</formula>
    </cfRule>
  </conditionalFormatting>
  <printOptions horizontalCentered="1"/>
  <pageMargins left="0.19685039370078741" right="0.19685039370078741" top="0.78740157480314965" bottom="0.19685039370078741" header="0" footer="0"/>
  <pageSetup paperSize="9" orientation="landscape" r:id="rId1"/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G31"/>
  <sheetViews>
    <sheetView view="pageBreakPreview" topLeftCell="A22" zoomScale="60" zoomScaleNormal="100" workbookViewId="0">
      <selection activeCell="E29" sqref="E29"/>
    </sheetView>
  </sheetViews>
  <sheetFormatPr defaultRowHeight="13.2" x14ac:dyDescent="0.25"/>
  <cols>
    <col min="3" max="3" width="67.6640625" customWidth="1"/>
    <col min="6" max="6" width="21.6640625" customWidth="1"/>
    <col min="7" max="7" width="18.44140625" bestFit="1" customWidth="1"/>
  </cols>
  <sheetData>
    <row r="2" spans="1:7" x14ac:dyDescent="0.25">
      <c r="F2" s="443" t="s">
        <v>495</v>
      </c>
      <c r="G2" s="443"/>
    </row>
    <row r="3" spans="1:7" ht="13.8" thickBot="1" x14ac:dyDescent="0.3"/>
    <row r="4" spans="1:7" ht="18" thickBot="1" x14ac:dyDescent="0.3">
      <c r="A4" s="335"/>
      <c r="B4" s="434" t="s">
        <v>140</v>
      </c>
      <c r="C4" s="435"/>
      <c r="D4" s="435"/>
      <c r="E4" s="435"/>
      <c r="F4" s="435"/>
      <c r="G4" s="436"/>
    </row>
    <row r="5" spans="1:7" ht="18" thickBot="1" x14ac:dyDescent="0.3">
      <c r="A5" s="437" t="s">
        <v>473</v>
      </c>
      <c r="B5" s="438"/>
      <c r="C5" s="336" t="s">
        <v>474</v>
      </c>
      <c r="D5" s="337" t="s">
        <v>475</v>
      </c>
      <c r="E5" s="337" t="s">
        <v>476</v>
      </c>
      <c r="F5" s="337" t="s">
        <v>477</v>
      </c>
      <c r="G5" s="338" t="s">
        <v>478</v>
      </c>
    </row>
    <row r="6" spans="1:7" ht="36" customHeight="1" x14ac:dyDescent="0.25">
      <c r="A6" s="339"/>
      <c r="B6" s="340">
        <v>88273</v>
      </c>
      <c r="C6" s="341" t="s">
        <v>479</v>
      </c>
      <c r="D6" s="342" t="s">
        <v>480</v>
      </c>
      <c r="E6" s="343">
        <v>10</v>
      </c>
      <c r="F6" s="344">
        <v>14.74</v>
      </c>
      <c r="G6" s="345">
        <f t="shared" ref="G6:G26" si="0">TRUNC(E6*F6,2)</f>
        <v>147.4</v>
      </c>
    </row>
    <row r="7" spans="1:7" ht="36" customHeight="1" x14ac:dyDescent="0.25">
      <c r="A7" s="339"/>
      <c r="B7" s="340">
        <v>88242</v>
      </c>
      <c r="C7" s="341" t="s">
        <v>511</v>
      </c>
      <c r="D7" s="342" t="s">
        <v>480</v>
      </c>
      <c r="E7" s="343">
        <v>4.5</v>
      </c>
      <c r="F7" s="344">
        <v>12.72</v>
      </c>
      <c r="G7" s="345">
        <f t="shared" si="0"/>
        <v>57.24</v>
      </c>
    </row>
    <row r="8" spans="1:7" ht="36" customHeight="1" x14ac:dyDescent="0.25">
      <c r="A8" s="339"/>
      <c r="B8" s="340">
        <v>88309</v>
      </c>
      <c r="C8" s="341" t="s">
        <v>482</v>
      </c>
      <c r="D8" s="342" t="s">
        <v>480</v>
      </c>
      <c r="E8" s="343">
        <v>4.5</v>
      </c>
      <c r="F8" s="344">
        <v>15.99</v>
      </c>
      <c r="G8" s="345">
        <f t="shared" si="0"/>
        <v>71.95</v>
      </c>
    </row>
    <row r="9" spans="1:7" ht="36" customHeight="1" x14ac:dyDescent="0.25">
      <c r="A9" s="339"/>
      <c r="B9" s="340">
        <v>88310</v>
      </c>
      <c r="C9" s="341" t="s">
        <v>481</v>
      </c>
      <c r="D9" s="342" t="s">
        <v>480</v>
      </c>
      <c r="E9" s="343">
        <v>4</v>
      </c>
      <c r="F9" s="344">
        <v>15.93</v>
      </c>
      <c r="G9" s="345">
        <f t="shared" si="0"/>
        <v>63.72</v>
      </c>
    </row>
    <row r="10" spans="1:7" ht="36" customHeight="1" x14ac:dyDescent="0.25">
      <c r="A10" s="339"/>
      <c r="B10" s="340">
        <v>88261</v>
      </c>
      <c r="C10" s="341" t="s">
        <v>512</v>
      </c>
      <c r="D10" s="342" t="s">
        <v>480</v>
      </c>
      <c r="E10" s="343">
        <v>4.5</v>
      </c>
      <c r="F10" s="344">
        <v>15.74</v>
      </c>
      <c r="G10" s="345">
        <f t="shared" si="0"/>
        <v>70.83</v>
      </c>
    </row>
    <row r="11" spans="1:7" ht="36" customHeight="1" x14ac:dyDescent="0.25">
      <c r="A11" s="339"/>
      <c r="B11" s="340">
        <v>1379</v>
      </c>
      <c r="C11" s="341" t="s">
        <v>513</v>
      </c>
      <c r="D11" s="342" t="s">
        <v>132</v>
      </c>
      <c r="E11" s="343">
        <v>3.65</v>
      </c>
      <c r="F11" s="344">
        <v>0.48</v>
      </c>
      <c r="G11" s="345">
        <f t="shared" si="0"/>
        <v>1.75</v>
      </c>
    </row>
    <row r="12" spans="1:7" ht="36" customHeight="1" x14ac:dyDescent="0.25">
      <c r="A12" s="339"/>
      <c r="B12" s="340">
        <v>370</v>
      </c>
      <c r="C12" s="341" t="s">
        <v>514</v>
      </c>
      <c r="D12" s="342" t="s">
        <v>19</v>
      </c>
      <c r="E12" s="343">
        <v>0.05</v>
      </c>
      <c r="F12" s="344">
        <f>'Comp 05'!F14</f>
        <v>46</v>
      </c>
      <c r="G12" s="345">
        <f t="shared" si="0"/>
        <v>2.2999999999999998</v>
      </c>
    </row>
    <row r="13" spans="1:7" ht="36" customHeight="1" x14ac:dyDescent="0.25">
      <c r="A13" s="339"/>
      <c r="B13" s="340">
        <v>4721</v>
      </c>
      <c r="C13" s="341" t="s">
        <v>515</v>
      </c>
      <c r="D13" s="342" t="s">
        <v>19</v>
      </c>
      <c r="E13" s="343">
        <v>0.04</v>
      </c>
      <c r="F13" s="344">
        <f>'Comp 05'!F15</f>
        <v>54.59</v>
      </c>
      <c r="G13" s="345">
        <f t="shared" si="0"/>
        <v>2.1800000000000002</v>
      </c>
    </row>
    <row r="14" spans="1:7" ht="36" customHeight="1" x14ac:dyDescent="0.25">
      <c r="A14" s="339"/>
      <c r="B14" s="340">
        <v>2794</v>
      </c>
      <c r="C14" s="341" t="s">
        <v>516</v>
      </c>
      <c r="D14" s="342" t="s">
        <v>20</v>
      </c>
      <c r="E14" s="343">
        <v>20</v>
      </c>
      <c r="F14" s="344">
        <f>'Comp 05'!F16</f>
        <v>62.37</v>
      </c>
      <c r="G14" s="345">
        <f t="shared" si="0"/>
        <v>1247.4000000000001</v>
      </c>
    </row>
    <row r="15" spans="1:7" ht="36" customHeight="1" x14ac:dyDescent="0.25">
      <c r="A15" s="339"/>
      <c r="B15" s="340">
        <v>4119</v>
      </c>
      <c r="C15" s="341" t="s">
        <v>517</v>
      </c>
      <c r="D15" s="342" t="s">
        <v>20</v>
      </c>
      <c r="E15" s="343">
        <v>5</v>
      </c>
      <c r="F15" s="344">
        <f>'Comp 05'!F17</f>
        <v>25.26</v>
      </c>
      <c r="G15" s="345">
        <f t="shared" si="0"/>
        <v>126.3</v>
      </c>
    </row>
    <row r="16" spans="1:7" ht="36" customHeight="1" x14ac:dyDescent="0.25">
      <c r="A16" s="339"/>
      <c r="B16" s="340">
        <v>546</v>
      </c>
      <c r="C16" s="341" t="s">
        <v>529</v>
      </c>
      <c r="D16" s="342" t="s">
        <v>132</v>
      </c>
      <c r="E16" s="343">
        <v>3</v>
      </c>
      <c r="F16" s="344">
        <v>5.21</v>
      </c>
      <c r="G16" s="345">
        <f t="shared" si="0"/>
        <v>15.63</v>
      </c>
    </row>
    <row r="17" spans="1:7" ht="36" customHeight="1" x14ac:dyDescent="0.25">
      <c r="A17" s="339"/>
      <c r="B17" s="340">
        <v>11977</v>
      </c>
      <c r="C17" s="341" t="s">
        <v>530</v>
      </c>
      <c r="D17" s="342" t="s">
        <v>519</v>
      </c>
      <c r="E17" s="343">
        <v>8</v>
      </c>
      <c r="F17" s="344">
        <v>6.44</v>
      </c>
      <c r="G17" s="345">
        <f t="shared" si="0"/>
        <v>51.52</v>
      </c>
    </row>
    <row r="18" spans="1:7" ht="36" customHeight="1" x14ac:dyDescent="0.25">
      <c r="A18" s="339"/>
      <c r="B18" s="340">
        <v>4299</v>
      </c>
      <c r="C18" s="341" t="s">
        <v>518</v>
      </c>
      <c r="D18" s="342" t="s">
        <v>519</v>
      </c>
      <c r="E18" s="343">
        <v>18</v>
      </c>
      <c r="F18" s="344">
        <v>0.6</v>
      </c>
      <c r="G18" s="345">
        <f t="shared" si="0"/>
        <v>10.8</v>
      </c>
    </row>
    <row r="19" spans="1:7" ht="36" customHeight="1" x14ac:dyDescent="0.25">
      <c r="A19" s="339"/>
      <c r="B19" s="340">
        <v>11058</v>
      </c>
      <c r="C19" s="341" t="s">
        <v>520</v>
      </c>
      <c r="D19" s="342" t="s">
        <v>519</v>
      </c>
      <c r="E19" s="343">
        <v>14</v>
      </c>
      <c r="F19" s="344">
        <v>0.19</v>
      </c>
      <c r="G19" s="345">
        <f t="shared" si="0"/>
        <v>2.66</v>
      </c>
    </row>
    <row r="20" spans="1:7" ht="36" customHeight="1" x14ac:dyDescent="0.25">
      <c r="A20" s="339"/>
      <c r="B20" s="340">
        <v>3767</v>
      </c>
      <c r="C20" s="341" t="s">
        <v>523</v>
      </c>
      <c r="D20" s="342" t="s">
        <v>519</v>
      </c>
      <c r="E20" s="343">
        <v>18</v>
      </c>
      <c r="F20" s="344">
        <v>0.67</v>
      </c>
      <c r="G20" s="345">
        <f t="shared" si="0"/>
        <v>12.06</v>
      </c>
    </row>
    <row r="21" spans="1:7" ht="36" customHeight="1" x14ac:dyDescent="0.25">
      <c r="A21" s="339"/>
      <c r="B21" s="340">
        <v>7340</v>
      </c>
      <c r="C21" s="341" t="s">
        <v>489</v>
      </c>
      <c r="D21" s="342" t="s">
        <v>490</v>
      </c>
      <c r="E21" s="343">
        <v>3</v>
      </c>
      <c r="F21" s="344">
        <v>16.88</v>
      </c>
      <c r="G21" s="345">
        <f t="shared" si="0"/>
        <v>50.64</v>
      </c>
    </row>
    <row r="22" spans="1:7" ht="36" customHeight="1" x14ac:dyDescent="0.25">
      <c r="A22" s="339"/>
      <c r="B22" s="340">
        <v>7353</v>
      </c>
      <c r="C22" s="341" t="s">
        <v>525</v>
      </c>
      <c r="D22" s="342" t="s">
        <v>490</v>
      </c>
      <c r="E22" s="343">
        <v>1.5</v>
      </c>
      <c r="F22" s="344">
        <v>20.21</v>
      </c>
      <c r="G22" s="345">
        <f t="shared" si="0"/>
        <v>30.31</v>
      </c>
    </row>
    <row r="23" spans="1:7" ht="36" customHeight="1" x14ac:dyDescent="0.25">
      <c r="A23" s="339"/>
      <c r="B23" s="340">
        <v>25931</v>
      </c>
      <c r="C23" s="341" t="s">
        <v>526</v>
      </c>
      <c r="D23" s="342" t="s">
        <v>519</v>
      </c>
      <c r="E23" s="343">
        <v>3</v>
      </c>
      <c r="F23" s="344">
        <v>58.3</v>
      </c>
      <c r="G23" s="345">
        <f t="shared" si="0"/>
        <v>174.9</v>
      </c>
    </row>
    <row r="24" spans="1:7" ht="36" customHeight="1" x14ac:dyDescent="0.25">
      <c r="A24" s="339"/>
      <c r="B24" s="340">
        <v>88830</v>
      </c>
      <c r="C24" s="341" t="s">
        <v>491</v>
      </c>
      <c r="D24" s="342" t="s">
        <v>480</v>
      </c>
      <c r="E24" s="343">
        <v>4.5</v>
      </c>
      <c r="F24" s="344">
        <v>0.94</v>
      </c>
      <c r="G24" s="345">
        <f t="shared" si="0"/>
        <v>4.2300000000000004</v>
      </c>
    </row>
    <row r="25" spans="1:7" ht="36" customHeight="1" x14ac:dyDescent="0.25">
      <c r="A25" s="339"/>
      <c r="B25" s="340">
        <v>91692</v>
      </c>
      <c r="C25" s="341" t="s">
        <v>527</v>
      </c>
      <c r="D25" s="342" t="s">
        <v>480</v>
      </c>
      <c r="E25" s="343">
        <v>5</v>
      </c>
      <c r="F25" s="344">
        <v>21.95</v>
      </c>
      <c r="G25" s="345">
        <f t="shared" si="0"/>
        <v>109.75</v>
      </c>
    </row>
    <row r="26" spans="1:7" ht="36" customHeight="1" x14ac:dyDescent="0.25">
      <c r="A26" s="339"/>
      <c r="B26" s="340">
        <v>96309</v>
      </c>
      <c r="C26" s="341" t="s">
        <v>492</v>
      </c>
      <c r="D26" s="342" t="s">
        <v>480</v>
      </c>
      <c r="E26" s="343">
        <v>4</v>
      </c>
      <c r="F26" s="344">
        <v>0.8</v>
      </c>
      <c r="G26" s="345">
        <f t="shared" si="0"/>
        <v>3.2</v>
      </c>
    </row>
    <row r="27" spans="1:7" ht="36" customHeight="1" thickBot="1" x14ac:dyDescent="0.3">
      <c r="A27" s="439"/>
      <c r="B27" s="440"/>
      <c r="C27" s="441"/>
      <c r="D27" s="442" t="s">
        <v>531</v>
      </c>
      <c r="E27" s="440"/>
      <c r="F27" s="441"/>
      <c r="G27" s="346">
        <f>SUM(G6:G26)</f>
        <v>2256.77</v>
      </c>
    </row>
    <row r="28" spans="1:7" ht="36" customHeight="1" x14ac:dyDescent="0.25"/>
    <row r="30" spans="1:7" x14ac:dyDescent="0.25">
      <c r="C30" s="166" t="s">
        <v>445</v>
      </c>
    </row>
    <row r="31" spans="1:7" x14ac:dyDescent="0.25">
      <c r="C31" s="167" t="s">
        <v>558</v>
      </c>
    </row>
  </sheetData>
  <mergeCells count="5">
    <mergeCell ref="B4:G4"/>
    <mergeCell ref="A5:B5"/>
    <mergeCell ref="A27:C27"/>
    <mergeCell ref="D27:F27"/>
    <mergeCell ref="F2:G2"/>
  </mergeCells>
  <pageMargins left="0.511811024" right="0.511811024" top="0.78740157499999996" bottom="0.78740157499999996" header="0.31496062000000002" footer="0.31496062000000002"/>
  <pageSetup paperSize="9" scale="64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9"/>
  <sheetViews>
    <sheetView view="pageBreakPreview" topLeftCell="A13" zoomScale="60" zoomScaleNormal="100" workbookViewId="0">
      <selection activeCell="E18" sqref="E18"/>
    </sheetView>
  </sheetViews>
  <sheetFormatPr defaultColWidth="9.109375" defaultRowHeight="36" customHeight="1" x14ac:dyDescent="0.3"/>
  <cols>
    <col min="1" max="2" width="9.109375" style="348"/>
    <col min="3" max="3" width="67.6640625" style="348" customWidth="1"/>
    <col min="4" max="5" width="9.109375" style="348"/>
    <col min="6" max="6" width="19" style="348" customWidth="1"/>
    <col min="7" max="7" width="15.6640625" style="348" customWidth="1"/>
    <col min="8" max="16384" width="9.109375" style="348"/>
  </cols>
  <sheetData>
    <row r="1" spans="1:7" ht="17.399999999999999" x14ac:dyDescent="0.3"/>
    <row r="2" spans="1:7" ht="17.399999999999999" x14ac:dyDescent="0.3">
      <c r="F2" s="448" t="s">
        <v>495</v>
      </c>
      <c r="G2" s="448"/>
    </row>
    <row r="3" spans="1:7" ht="18" thickBot="1" x14ac:dyDescent="0.35"/>
    <row r="4" spans="1:7" ht="18" thickBot="1" x14ac:dyDescent="0.35">
      <c r="A4" s="335"/>
      <c r="B4" s="434" t="s">
        <v>534</v>
      </c>
      <c r="C4" s="435"/>
      <c r="D4" s="435"/>
      <c r="E4" s="435"/>
      <c r="F4" s="435"/>
      <c r="G4" s="436"/>
    </row>
    <row r="5" spans="1:7" ht="35.4" thickBot="1" x14ac:dyDescent="0.35">
      <c r="A5" s="437" t="s">
        <v>473</v>
      </c>
      <c r="B5" s="438"/>
      <c r="C5" s="336" t="s">
        <v>474</v>
      </c>
      <c r="D5" s="337" t="s">
        <v>475</v>
      </c>
      <c r="E5" s="337" t="s">
        <v>476</v>
      </c>
      <c r="F5" s="337" t="s">
        <v>477</v>
      </c>
      <c r="G5" s="338" t="s">
        <v>478</v>
      </c>
    </row>
    <row r="6" spans="1:7" ht="52.2" x14ac:dyDescent="0.3">
      <c r="A6" s="449" t="s">
        <v>535</v>
      </c>
      <c r="B6" s="450"/>
      <c r="C6" s="341" t="s">
        <v>537</v>
      </c>
      <c r="D6" s="350" t="s">
        <v>538</v>
      </c>
      <c r="E6" s="351">
        <v>4</v>
      </c>
      <c r="F6" s="344">
        <v>0.12</v>
      </c>
      <c r="G6" s="345">
        <f t="shared" ref="G6:G14" si="0">TRUNC(E6*F6,2)</f>
        <v>0.48</v>
      </c>
    </row>
    <row r="7" spans="1:7" ht="36" customHeight="1" x14ac:dyDescent="0.3">
      <c r="A7" s="451">
        <v>4813</v>
      </c>
      <c r="B7" s="452"/>
      <c r="C7" s="341" t="s">
        <v>539</v>
      </c>
      <c r="D7" s="350" t="s">
        <v>18</v>
      </c>
      <c r="E7" s="351">
        <f>0.95*0.5</f>
        <v>0.47499999999999998</v>
      </c>
      <c r="F7" s="344">
        <v>247.5</v>
      </c>
      <c r="G7" s="345">
        <f t="shared" si="0"/>
        <v>117.56</v>
      </c>
    </row>
    <row r="8" spans="1:7" ht="36" customHeight="1" x14ac:dyDescent="0.3">
      <c r="A8" s="451" t="s">
        <v>536</v>
      </c>
      <c r="B8" s="452"/>
      <c r="C8" s="341" t="s">
        <v>483</v>
      </c>
      <c r="D8" s="350" t="s">
        <v>480</v>
      </c>
      <c r="E8" s="351">
        <v>0.4</v>
      </c>
      <c r="F8" s="344">
        <v>12.97</v>
      </c>
      <c r="G8" s="345">
        <f t="shared" si="0"/>
        <v>5.18</v>
      </c>
    </row>
    <row r="9" spans="1:7" ht="36" customHeight="1" x14ac:dyDescent="0.3">
      <c r="A9" s="453">
        <v>88315</v>
      </c>
      <c r="B9" s="454"/>
      <c r="C9" s="341" t="s">
        <v>501</v>
      </c>
      <c r="D9" s="350" t="s">
        <v>480</v>
      </c>
      <c r="E9" s="351">
        <v>0.4</v>
      </c>
      <c r="F9" s="344">
        <v>15.24</v>
      </c>
      <c r="G9" s="345">
        <f t="shared" si="0"/>
        <v>6.09</v>
      </c>
    </row>
    <row r="10" spans="1:7" ht="36" customHeight="1" x14ac:dyDescent="0.3">
      <c r="A10" s="453" t="s">
        <v>540</v>
      </c>
      <c r="B10" s="454"/>
      <c r="C10" s="341" t="s">
        <v>541</v>
      </c>
      <c r="D10" s="350" t="s">
        <v>18</v>
      </c>
      <c r="E10" s="352">
        <f>E12*0.09</f>
        <v>0.34199999999999997</v>
      </c>
      <c r="F10" s="344">
        <v>19.16</v>
      </c>
      <c r="G10" s="345">
        <f t="shared" si="0"/>
        <v>6.55</v>
      </c>
    </row>
    <row r="11" spans="1:7" ht="54.75" customHeight="1" x14ac:dyDescent="0.3">
      <c r="A11" s="453">
        <v>95468</v>
      </c>
      <c r="B11" s="454"/>
      <c r="C11" s="341" t="s">
        <v>542</v>
      </c>
      <c r="D11" s="350" t="s">
        <v>18</v>
      </c>
      <c r="E11" s="352">
        <f>E7*2</f>
        <v>0.95</v>
      </c>
      <c r="F11" s="344">
        <v>29.21</v>
      </c>
      <c r="G11" s="345">
        <f t="shared" si="0"/>
        <v>27.74</v>
      </c>
    </row>
    <row r="12" spans="1:7" ht="52.2" x14ac:dyDescent="0.3">
      <c r="A12" s="453">
        <v>2747</v>
      </c>
      <c r="B12" s="454"/>
      <c r="C12" s="341" t="s">
        <v>543</v>
      </c>
      <c r="D12" s="350" t="s">
        <v>544</v>
      </c>
      <c r="E12" s="352">
        <v>3.8</v>
      </c>
      <c r="F12" s="344">
        <v>16.04</v>
      </c>
      <c r="G12" s="345">
        <f t="shared" si="0"/>
        <v>60.95</v>
      </c>
    </row>
    <row r="13" spans="1:7" ht="36" customHeight="1" x14ac:dyDescent="0.3">
      <c r="A13" s="453"/>
      <c r="B13" s="454"/>
      <c r="C13" s="341"/>
      <c r="D13" s="350"/>
      <c r="E13" s="352"/>
      <c r="F13" s="344"/>
      <c r="G13" s="345">
        <f t="shared" si="0"/>
        <v>0</v>
      </c>
    </row>
    <row r="14" spans="1:7" ht="36" customHeight="1" x14ac:dyDescent="0.3">
      <c r="A14" s="453"/>
      <c r="B14" s="454"/>
      <c r="C14" s="341"/>
      <c r="D14" s="350"/>
      <c r="E14" s="352"/>
      <c r="F14" s="344"/>
      <c r="G14" s="345">
        <f t="shared" si="0"/>
        <v>0</v>
      </c>
    </row>
    <row r="15" spans="1:7" ht="36" customHeight="1" thickBot="1" x14ac:dyDescent="0.35">
      <c r="A15" s="444"/>
      <c r="B15" s="445"/>
      <c r="C15" s="446"/>
      <c r="D15" s="447" t="s">
        <v>545</v>
      </c>
      <c r="E15" s="445"/>
      <c r="F15" s="446"/>
      <c r="G15" s="349">
        <f>SUM(G6:G14)</f>
        <v>224.55</v>
      </c>
    </row>
    <row r="18" spans="3:3" ht="17.399999999999999" x14ac:dyDescent="0.3">
      <c r="C18" s="166" t="s">
        <v>445</v>
      </c>
    </row>
    <row r="19" spans="3:3" ht="17.399999999999999" x14ac:dyDescent="0.3">
      <c r="C19" s="167" t="s">
        <v>558</v>
      </c>
    </row>
  </sheetData>
  <mergeCells count="14">
    <mergeCell ref="B4:G4"/>
    <mergeCell ref="A5:B5"/>
    <mergeCell ref="A15:C15"/>
    <mergeCell ref="D15:F15"/>
    <mergeCell ref="F2:G2"/>
    <mergeCell ref="A6:B6"/>
    <mergeCell ref="A7:B7"/>
    <mergeCell ref="A8:B8"/>
    <mergeCell ref="A9:B9"/>
    <mergeCell ref="A10:B10"/>
    <mergeCell ref="A11:B11"/>
    <mergeCell ref="A12:B12"/>
    <mergeCell ref="A13:B13"/>
    <mergeCell ref="A14:B14"/>
  </mergeCells>
  <pageMargins left="0.511811024" right="0.511811024" top="0.78740157499999996" bottom="0.78740157499999996" header="0.31496062000000002" footer="0.31496062000000002"/>
  <pageSetup paperSize="9" scale="66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G16"/>
  <sheetViews>
    <sheetView view="pageBreakPreview" topLeftCell="A7" zoomScale="60" zoomScaleNormal="100" workbookViewId="0">
      <selection activeCell="C13" sqref="C13"/>
    </sheetView>
  </sheetViews>
  <sheetFormatPr defaultColWidth="9.109375" defaultRowHeight="17.399999999999999" x14ac:dyDescent="0.3"/>
  <cols>
    <col min="1" max="2" width="9.109375" style="348"/>
    <col min="3" max="3" width="67.6640625" style="348" customWidth="1"/>
    <col min="4" max="5" width="9.109375" style="348"/>
    <col min="6" max="6" width="19" style="348" customWidth="1"/>
    <col min="7" max="7" width="15.6640625" style="348" customWidth="1"/>
    <col min="8" max="16384" width="9.109375" style="348"/>
  </cols>
  <sheetData>
    <row r="2" spans="1:7" x14ac:dyDescent="0.3">
      <c r="F2" s="448" t="s">
        <v>495</v>
      </c>
      <c r="G2" s="448"/>
    </row>
    <row r="3" spans="1:7" ht="18" thickBot="1" x14ac:dyDescent="0.35"/>
    <row r="4" spans="1:7" ht="18" thickBot="1" x14ac:dyDescent="0.35">
      <c r="A4" s="335"/>
      <c r="B4" s="434" t="s">
        <v>554</v>
      </c>
      <c r="C4" s="435"/>
      <c r="D4" s="435"/>
      <c r="E4" s="435"/>
      <c r="F4" s="435"/>
      <c r="G4" s="436"/>
    </row>
    <row r="5" spans="1:7" ht="35.4" thickBot="1" x14ac:dyDescent="0.35">
      <c r="A5" s="437" t="s">
        <v>473</v>
      </c>
      <c r="B5" s="438"/>
      <c r="C5" s="336" t="s">
        <v>474</v>
      </c>
      <c r="D5" s="337" t="s">
        <v>475</v>
      </c>
      <c r="E5" s="337" t="s">
        <v>476</v>
      </c>
      <c r="F5" s="337" t="s">
        <v>477</v>
      </c>
      <c r="G5" s="338" t="s">
        <v>478</v>
      </c>
    </row>
    <row r="6" spans="1:7" x14ac:dyDescent="0.3">
      <c r="A6" s="449">
        <v>93358</v>
      </c>
      <c r="B6" s="450"/>
      <c r="C6" s="341" t="s">
        <v>553</v>
      </c>
      <c r="D6" s="350" t="s">
        <v>130</v>
      </c>
      <c r="E6" s="351">
        <f>0.2*0.2*0.6</f>
        <v>2.4000000000000004E-2</v>
      </c>
      <c r="F6" s="344">
        <v>51.3</v>
      </c>
      <c r="G6" s="345">
        <f t="shared" ref="G6:G10" si="0">TRUNC(E6*F6,2)</f>
        <v>1.23</v>
      </c>
    </row>
    <row r="7" spans="1:7" ht="52.2" x14ac:dyDescent="0.3">
      <c r="A7" s="451">
        <v>94963</v>
      </c>
      <c r="B7" s="452"/>
      <c r="C7" s="341" t="s">
        <v>552</v>
      </c>
      <c r="D7" s="350" t="s">
        <v>130</v>
      </c>
      <c r="E7" s="351">
        <f>0.2*0.2*1.5+2*2*0.08+0.5*0.6*0.5*4</f>
        <v>0.98</v>
      </c>
      <c r="F7" s="344">
        <v>253.34</v>
      </c>
      <c r="G7" s="345">
        <f t="shared" si="0"/>
        <v>248.27</v>
      </c>
    </row>
    <row r="8" spans="1:7" ht="36" customHeight="1" x14ac:dyDescent="0.3">
      <c r="A8" s="451">
        <v>92761</v>
      </c>
      <c r="B8" s="452"/>
      <c r="C8" s="341" t="s">
        <v>555</v>
      </c>
      <c r="D8" s="350" t="s">
        <v>132</v>
      </c>
      <c r="E8" s="351">
        <f>4*1.4*0.38+4*0.6*0.38*4</f>
        <v>5.7759999999999998</v>
      </c>
      <c r="F8" s="344">
        <v>7.81</v>
      </c>
      <c r="G8" s="345">
        <f t="shared" si="0"/>
        <v>45.11</v>
      </c>
    </row>
    <row r="9" spans="1:7" ht="36" customHeight="1" x14ac:dyDescent="0.3">
      <c r="A9" s="453">
        <v>10920</v>
      </c>
      <c r="B9" s="454"/>
      <c r="C9" s="341" t="s">
        <v>556</v>
      </c>
      <c r="D9" s="350" t="s">
        <v>131</v>
      </c>
      <c r="E9" s="351">
        <f>2*2</f>
        <v>4</v>
      </c>
      <c r="F9" s="344">
        <v>12.94</v>
      </c>
      <c r="G9" s="345">
        <f t="shared" si="0"/>
        <v>51.76</v>
      </c>
    </row>
    <row r="10" spans="1:7" ht="36" customHeight="1" x14ac:dyDescent="0.3">
      <c r="A10" s="453">
        <v>92271</v>
      </c>
      <c r="B10" s="454"/>
      <c r="C10" s="341" t="s">
        <v>557</v>
      </c>
      <c r="D10" s="350" t="s">
        <v>131</v>
      </c>
      <c r="E10" s="352">
        <f>4+(1+1.2)*0.5*4+(0.2*4)*0.9</f>
        <v>9.120000000000001</v>
      </c>
      <c r="F10" s="344">
        <v>31.93</v>
      </c>
      <c r="G10" s="345">
        <f t="shared" si="0"/>
        <v>291.2</v>
      </c>
    </row>
    <row r="11" spans="1:7" ht="36" customHeight="1" thickBot="1" x14ac:dyDescent="0.35">
      <c r="A11" s="444"/>
      <c r="B11" s="445"/>
      <c r="C11" s="446"/>
      <c r="D11" s="447" t="s">
        <v>551</v>
      </c>
      <c r="E11" s="445"/>
      <c r="F11" s="446"/>
      <c r="G11" s="349">
        <f>SUM(G6:G10)</f>
        <v>637.56999999999994</v>
      </c>
    </row>
    <row r="15" spans="1:7" x14ac:dyDescent="0.3">
      <c r="C15" s="166" t="s">
        <v>445</v>
      </c>
    </row>
    <row r="16" spans="1:7" x14ac:dyDescent="0.3">
      <c r="C16" s="167" t="s">
        <v>558</v>
      </c>
    </row>
  </sheetData>
  <mergeCells count="10">
    <mergeCell ref="A11:C11"/>
    <mergeCell ref="D11:F11"/>
    <mergeCell ref="A9:B9"/>
    <mergeCell ref="A10:B10"/>
    <mergeCell ref="F2:G2"/>
    <mergeCell ref="B4:G4"/>
    <mergeCell ref="A5:B5"/>
    <mergeCell ref="A6:B6"/>
    <mergeCell ref="A7:B7"/>
    <mergeCell ref="A8:B8"/>
  </mergeCells>
  <pageMargins left="0.511811024" right="0.511811024" top="0.78740157499999996" bottom="0.78740157499999996" header="0.31496062000000002" footer="0.31496062000000002"/>
  <pageSetup paperSize="9" scale="66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4"/>
  <sheetViews>
    <sheetView view="pageBreakPreview" topLeftCell="A4" zoomScale="60" zoomScaleNormal="100" workbookViewId="0">
      <selection activeCell="A21" sqref="A21"/>
    </sheetView>
  </sheetViews>
  <sheetFormatPr defaultRowHeight="13.2" x14ac:dyDescent="0.25"/>
  <cols>
    <col min="1" max="1" width="34.88671875" customWidth="1"/>
    <col min="2" max="2" width="14.88671875" customWidth="1"/>
    <col min="3" max="3" width="13.44140625" customWidth="1"/>
    <col min="4" max="4" width="33.109375" bestFit="1" customWidth="1"/>
  </cols>
  <sheetData>
    <row r="1" spans="1:6" x14ac:dyDescent="0.25">
      <c r="A1" s="395" t="s">
        <v>370</v>
      </c>
      <c r="B1" s="395"/>
      <c r="C1" s="395"/>
      <c r="D1" s="395"/>
    </row>
    <row r="2" spans="1:6" x14ac:dyDescent="0.25">
      <c r="A2" s="195"/>
      <c r="B2" s="195"/>
      <c r="C2" s="195"/>
      <c r="D2" s="196"/>
    </row>
    <row r="3" spans="1:6" x14ac:dyDescent="0.25">
      <c r="A3" s="196" t="s">
        <v>157</v>
      </c>
      <c r="B3" s="455" t="s">
        <v>156</v>
      </c>
      <c r="C3" s="455"/>
      <c r="D3" s="197" t="s">
        <v>159</v>
      </c>
    </row>
    <row r="4" spans="1:6" x14ac:dyDescent="0.25">
      <c r="A4" s="196" t="s">
        <v>469</v>
      </c>
      <c r="B4" s="203" t="s">
        <v>372</v>
      </c>
      <c r="C4" s="203" t="s">
        <v>371</v>
      </c>
      <c r="D4" s="198">
        <v>10300</v>
      </c>
      <c r="E4" s="194"/>
      <c r="F4" s="194"/>
    </row>
    <row r="5" spans="1:6" x14ac:dyDescent="0.25">
      <c r="A5" s="196" t="s">
        <v>470</v>
      </c>
      <c r="B5" s="203" t="s">
        <v>376</v>
      </c>
      <c r="C5" s="203" t="s">
        <v>375</v>
      </c>
      <c r="D5" s="198">
        <v>9850</v>
      </c>
      <c r="E5" s="194"/>
      <c r="F5" s="194"/>
    </row>
    <row r="6" spans="1:6" x14ac:dyDescent="0.25">
      <c r="A6" s="196" t="s">
        <v>471</v>
      </c>
      <c r="B6" s="203" t="s">
        <v>374</v>
      </c>
      <c r="C6" s="203" t="s">
        <v>373</v>
      </c>
      <c r="D6" s="198">
        <v>11700</v>
      </c>
      <c r="E6" s="194"/>
      <c r="F6" s="194"/>
    </row>
    <row r="7" spans="1:6" x14ac:dyDescent="0.25">
      <c r="A7" s="195"/>
      <c r="B7" s="196"/>
      <c r="C7" s="195"/>
      <c r="D7" s="199"/>
      <c r="E7" s="194"/>
      <c r="F7" s="194"/>
    </row>
    <row r="8" spans="1:6" x14ac:dyDescent="0.25">
      <c r="A8" s="196" t="s">
        <v>158</v>
      </c>
      <c r="B8" s="195"/>
      <c r="C8" s="195"/>
      <c r="D8" s="40">
        <f>AVERAGE(D4:D6)</f>
        <v>10616.666666666666</v>
      </c>
    </row>
    <row r="11" spans="1:6" x14ac:dyDescent="0.25">
      <c r="A11" s="395" t="s">
        <v>456</v>
      </c>
      <c r="B11" s="395"/>
      <c r="C11" s="395"/>
      <c r="D11" s="395"/>
    </row>
    <row r="12" spans="1:6" x14ac:dyDescent="0.25">
      <c r="A12" s="195"/>
      <c r="B12" s="195"/>
      <c r="C12" s="195"/>
      <c r="D12" s="196"/>
    </row>
    <row r="13" spans="1:6" x14ac:dyDescent="0.25">
      <c r="A13" s="196" t="s">
        <v>157</v>
      </c>
      <c r="B13" s="455" t="s">
        <v>156</v>
      </c>
      <c r="C13" s="455"/>
      <c r="D13" s="334" t="s">
        <v>159</v>
      </c>
    </row>
    <row r="14" spans="1:6" x14ac:dyDescent="0.25">
      <c r="A14" s="196" t="s">
        <v>457</v>
      </c>
      <c r="B14" s="334" t="s">
        <v>458</v>
      </c>
      <c r="C14" s="334" t="s">
        <v>459</v>
      </c>
      <c r="D14" s="198">
        <v>175</v>
      </c>
    </row>
    <row r="15" spans="1:6" x14ac:dyDescent="0.25">
      <c r="A15" s="196" t="s">
        <v>468</v>
      </c>
      <c r="B15" s="334" t="s">
        <v>460</v>
      </c>
      <c r="C15" s="334" t="s">
        <v>472</v>
      </c>
      <c r="D15" s="198">
        <v>190</v>
      </c>
    </row>
    <row r="16" spans="1:6" x14ac:dyDescent="0.25">
      <c r="A16" s="196"/>
      <c r="B16" s="334"/>
      <c r="C16" s="334"/>
      <c r="D16" s="198"/>
    </row>
    <row r="17" spans="1:4" x14ac:dyDescent="0.25">
      <c r="A17" s="195"/>
      <c r="B17" s="196"/>
      <c r="C17" s="195"/>
      <c r="D17" s="199"/>
    </row>
    <row r="18" spans="1:4" x14ac:dyDescent="0.25">
      <c r="A18" s="196" t="s">
        <v>158</v>
      </c>
      <c r="B18" s="195"/>
      <c r="C18" s="195"/>
      <c r="D18" s="40">
        <f>AVERAGE(D14:D16)</f>
        <v>182.5</v>
      </c>
    </row>
    <row r="23" spans="1:4" x14ac:dyDescent="0.25">
      <c r="A23" s="166" t="s">
        <v>445</v>
      </c>
    </row>
    <row r="24" spans="1:4" x14ac:dyDescent="0.25">
      <c r="A24" s="167" t="s">
        <v>558</v>
      </c>
    </row>
  </sheetData>
  <mergeCells count="4">
    <mergeCell ref="B3:C3"/>
    <mergeCell ref="A1:D1"/>
    <mergeCell ref="A11:D11"/>
    <mergeCell ref="B13:C13"/>
  </mergeCells>
  <pageMargins left="0.51181102362204722" right="0.51181102362204722" top="0.78740157480314965" bottom="0.78740157480314965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2"/>
  <sheetViews>
    <sheetView showZeros="0" tabSelected="1" zoomScaleNormal="100" workbookViewId="0">
      <selection activeCell="G175" sqref="G175"/>
    </sheetView>
  </sheetViews>
  <sheetFormatPr defaultColWidth="9.109375" defaultRowHeight="13.8" x14ac:dyDescent="0.3"/>
  <cols>
    <col min="1" max="1" width="7.6640625" style="184" customWidth="1"/>
    <col min="2" max="2" width="15.6640625" style="202" customWidth="1"/>
    <col min="3" max="3" width="75.6640625" style="184" customWidth="1"/>
    <col min="4" max="4" width="10.44140625" style="184" customWidth="1"/>
    <col min="5" max="5" width="13.6640625" style="189" customWidth="1"/>
    <col min="6" max="6" width="13.6640625" style="188" customWidth="1"/>
    <col min="7" max="7" width="16.5546875" style="188" customWidth="1"/>
    <col min="8" max="8" width="16.5546875" style="201" customWidth="1"/>
    <col min="9" max="9" width="13.6640625" style="205" customWidth="1"/>
    <col min="10" max="10" width="9.88671875" style="206" bestFit="1" customWidth="1"/>
    <col min="11" max="16384" width="9.109375" style="184"/>
  </cols>
  <sheetData>
    <row r="1" spans="1:12" ht="59.25" customHeight="1" x14ac:dyDescent="0.3">
      <c r="A1" s="181"/>
      <c r="B1" s="182"/>
      <c r="C1" s="182" t="s">
        <v>21</v>
      </c>
      <c r="D1" s="182"/>
      <c r="E1" s="183"/>
      <c r="F1" s="183"/>
      <c r="G1" s="183"/>
      <c r="H1" s="208"/>
    </row>
    <row r="2" spans="1:12" ht="12.75" customHeight="1" x14ac:dyDescent="0.3">
      <c r="A2" s="372" t="s">
        <v>161</v>
      </c>
      <c r="B2" s="364"/>
      <c r="C2" s="364"/>
      <c r="D2" s="364"/>
      <c r="E2" s="363" t="s">
        <v>162</v>
      </c>
      <c r="F2" s="363"/>
      <c r="G2" s="363"/>
      <c r="H2" s="209"/>
      <c r="I2" s="200"/>
      <c r="J2" s="200"/>
    </row>
    <row r="3" spans="1:12" x14ac:dyDescent="0.3">
      <c r="A3" s="372"/>
      <c r="B3" s="364"/>
      <c r="C3" s="364"/>
      <c r="D3" s="364"/>
      <c r="E3" s="364" t="s">
        <v>451</v>
      </c>
      <c r="F3" s="364"/>
      <c r="G3" s="364"/>
      <c r="H3" s="210"/>
      <c r="I3" s="200"/>
      <c r="J3" s="200"/>
    </row>
    <row r="4" spans="1:12" ht="27" customHeight="1" x14ac:dyDescent="0.3">
      <c r="A4" s="372"/>
      <c r="B4" s="364"/>
      <c r="C4" s="364"/>
      <c r="D4" s="364"/>
      <c r="E4" s="379" t="s">
        <v>452</v>
      </c>
      <c r="F4" s="379"/>
      <c r="G4" s="379"/>
      <c r="H4" s="380"/>
      <c r="I4" s="200"/>
      <c r="J4" s="200"/>
    </row>
    <row r="5" spans="1:12" ht="32.25" customHeight="1" x14ac:dyDescent="0.3">
      <c r="A5" s="372"/>
      <c r="B5" s="364"/>
      <c r="C5" s="364"/>
      <c r="D5" s="364"/>
      <c r="E5" s="186"/>
      <c r="F5" s="186"/>
      <c r="G5" s="186"/>
      <c r="H5" s="211"/>
      <c r="I5" s="200">
        <f>G123</f>
        <v>0</v>
      </c>
      <c r="J5" s="200"/>
    </row>
    <row r="6" spans="1:12" ht="59.25" customHeight="1" thickBot="1" x14ac:dyDescent="0.35">
      <c r="A6" s="377" t="s">
        <v>264</v>
      </c>
      <c r="B6" s="378"/>
      <c r="C6" s="378"/>
      <c r="D6" s="378"/>
      <c r="E6" s="212"/>
      <c r="F6" s="212"/>
      <c r="G6" s="212"/>
      <c r="H6" s="258"/>
      <c r="I6" s="200"/>
      <c r="J6" s="200"/>
    </row>
    <row r="7" spans="1:12" ht="20.100000000000001" customHeight="1" x14ac:dyDescent="0.3">
      <c r="A7" s="369" t="s">
        <v>165</v>
      </c>
      <c r="B7" s="370"/>
      <c r="C7" s="370"/>
      <c r="D7" s="370"/>
      <c r="E7" s="370"/>
      <c r="F7" s="370"/>
      <c r="G7" s="370"/>
      <c r="H7" s="371"/>
    </row>
    <row r="8" spans="1:12" ht="23.25" customHeight="1" x14ac:dyDescent="0.3">
      <c r="A8" s="375" t="s">
        <v>0</v>
      </c>
      <c r="B8" s="373" t="s">
        <v>1</v>
      </c>
      <c r="C8" s="373" t="s">
        <v>2</v>
      </c>
      <c r="D8" s="373" t="s">
        <v>3</v>
      </c>
      <c r="E8" s="365" t="s">
        <v>64</v>
      </c>
      <c r="F8" s="365" t="s">
        <v>65</v>
      </c>
      <c r="G8" s="365" t="s">
        <v>22</v>
      </c>
      <c r="H8" s="367" t="s">
        <v>166</v>
      </c>
      <c r="I8" s="205">
        <f>'Físico-Financeiro'!D20</f>
        <v>2.4978419522352024E-2</v>
      </c>
    </row>
    <row r="9" spans="1:12" ht="14.4" thickBot="1" x14ac:dyDescent="0.35">
      <c r="A9" s="376"/>
      <c r="B9" s="374"/>
      <c r="C9" s="374"/>
      <c r="D9" s="374"/>
      <c r="E9" s="366"/>
      <c r="F9" s="366"/>
      <c r="G9" s="366"/>
      <c r="H9" s="368"/>
    </row>
    <row r="10" spans="1:12" ht="12.75" customHeight="1" x14ac:dyDescent="0.3">
      <c r="A10" s="263" t="s">
        <v>178</v>
      </c>
      <c r="B10" s="264"/>
      <c r="C10" s="265" t="s">
        <v>35</v>
      </c>
      <c r="D10" s="266"/>
      <c r="E10" s="267"/>
      <c r="F10" s="268"/>
      <c r="G10" s="268"/>
      <c r="H10" s="269"/>
    </row>
    <row r="11" spans="1:12" ht="25.5" customHeight="1" x14ac:dyDescent="0.3">
      <c r="A11" s="213" t="s">
        <v>6</v>
      </c>
      <c r="B11" s="214" t="s">
        <v>5</v>
      </c>
      <c r="C11" s="215" t="s">
        <v>36</v>
      </c>
      <c r="D11" s="216" t="s">
        <v>131</v>
      </c>
      <c r="E11" s="217">
        <v>8</v>
      </c>
      <c r="F11" s="218">
        <f>I11</f>
        <v>397.73</v>
      </c>
      <c r="G11" s="218">
        <f t="shared" ref="G11" si="0">TRUNC(F11*E11,2)</f>
        <v>3181.84</v>
      </c>
      <c r="H11" s="219">
        <f>G11/$G$13</f>
        <v>0.31581726541299504</v>
      </c>
      <c r="I11" s="205">
        <f>TRUNC(J11*1.2641,2)</f>
        <v>397.73</v>
      </c>
      <c r="J11" s="206">
        <v>314.64</v>
      </c>
      <c r="L11" s="206">
        <v>303.81</v>
      </c>
    </row>
    <row r="12" spans="1:12" ht="27.6" x14ac:dyDescent="0.3">
      <c r="A12" s="213" t="s">
        <v>7</v>
      </c>
      <c r="B12" s="214">
        <v>93207</v>
      </c>
      <c r="C12" s="215" t="s">
        <v>164</v>
      </c>
      <c r="D12" s="216" t="s">
        <v>131</v>
      </c>
      <c r="E12" s="217">
        <v>10</v>
      </c>
      <c r="F12" s="218">
        <f>I12</f>
        <v>689.31</v>
      </c>
      <c r="G12" s="218">
        <f t="shared" ref="G12" si="1">TRUNC(F12*E12,2)</f>
        <v>6893.1</v>
      </c>
      <c r="H12" s="219">
        <f>G12/$G$13</f>
        <v>0.68418273458700496</v>
      </c>
      <c r="I12" s="205">
        <f t="shared" ref="I12:I75" si="2">TRUNC(J12*1.2641,2)</f>
        <v>689.31</v>
      </c>
      <c r="J12" s="206">
        <v>545.29999999999995</v>
      </c>
      <c r="L12" s="206">
        <v>541.54999999999995</v>
      </c>
    </row>
    <row r="13" spans="1:12" x14ac:dyDescent="0.3">
      <c r="A13" s="213"/>
      <c r="B13" s="214"/>
      <c r="C13" s="220" t="s">
        <v>66</v>
      </c>
      <c r="D13" s="216"/>
      <c r="E13" s="217"/>
      <c r="F13" s="218"/>
      <c r="G13" s="221">
        <f>SUM(G11:G12)</f>
        <v>10074.94</v>
      </c>
      <c r="H13" s="222">
        <f>G13/$G$164</f>
        <v>3.3583876656470002E-2</v>
      </c>
      <c r="I13" s="205">
        <f t="shared" si="2"/>
        <v>0</v>
      </c>
      <c r="L13" s="206"/>
    </row>
    <row r="14" spans="1:12" x14ac:dyDescent="0.3">
      <c r="A14" s="224" t="s">
        <v>179</v>
      </c>
      <c r="B14" s="270"/>
      <c r="C14" s="271" t="s">
        <v>37</v>
      </c>
      <c r="D14" s="227"/>
      <c r="E14" s="228"/>
      <c r="F14" s="229"/>
      <c r="G14" s="229"/>
      <c r="H14" s="272"/>
      <c r="I14" s="205">
        <f t="shared" si="2"/>
        <v>0</v>
      </c>
      <c r="L14" s="206"/>
    </row>
    <row r="15" spans="1:12" x14ac:dyDescent="0.3">
      <c r="A15" s="213" t="s">
        <v>8</v>
      </c>
      <c r="B15" s="214"/>
      <c r="C15" s="215" t="s">
        <v>38</v>
      </c>
      <c r="D15" s="216" t="s">
        <v>61</v>
      </c>
      <c r="E15" s="217">
        <v>1</v>
      </c>
      <c r="F15" s="223">
        <v>4500</v>
      </c>
      <c r="G15" s="218">
        <f>TRUNC(F15*E15,2)</f>
        <v>4500</v>
      </c>
      <c r="H15" s="219">
        <f>G15/G16</f>
        <v>1</v>
      </c>
      <c r="I15" s="205">
        <f t="shared" si="2"/>
        <v>0</v>
      </c>
      <c r="L15" s="206"/>
    </row>
    <row r="16" spans="1:12" x14ac:dyDescent="0.3">
      <c r="A16" s="213"/>
      <c r="B16" s="214"/>
      <c r="C16" s="220" t="s">
        <v>67</v>
      </c>
      <c r="D16" s="216"/>
      <c r="E16" s="217"/>
      <c r="F16" s="218"/>
      <c r="G16" s="221">
        <f>G15</f>
        <v>4500</v>
      </c>
      <c r="H16" s="222">
        <f>G16/$G$164</f>
        <v>1.5000332007348431E-2</v>
      </c>
      <c r="I16" s="205">
        <f t="shared" si="2"/>
        <v>0</v>
      </c>
      <c r="L16" s="206"/>
    </row>
    <row r="17" spans="1:14" x14ac:dyDescent="0.3">
      <c r="A17" s="224" t="s">
        <v>180</v>
      </c>
      <c r="B17" s="225"/>
      <c r="C17" s="226" t="s">
        <v>177</v>
      </c>
      <c r="D17" s="227"/>
      <c r="E17" s="228"/>
      <c r="F17" s="229"/>
      <c r="G17" s="230"/>
      <c r="H17" s="231"/>
      <c r="I17" s="205">
        <f t="shared" si="2"/>
        <v>0</v>
      </c>
      <c r="L17" s="206"/>
    </row>
    <row r="18" spans="1:14" s="187" customFormat="1" x14ac:dyDescent="0.3">
      <c r="A18" s="232"/>
      <c r="B18" s="233"/>
      <c r="C18" s="234" t="s">
        <v>167</v>
      </c>
      <c r="D18" s="235"/>
      <c r="E18" s="236"/>
      <c r="F18" s="237"/>
      <c r="G18" s="238"/>
      <c r="H18" s="239"/>
      <c r="I18" s="205">
        <f t="shared" si="2"/>
        <v>0</v>
      </c>
      <c r="J18" s="207"/>
      <c r="L18" s="207"/>
    </row>
    <row r="19" spans="1:14" s="187" customFormat="1" ht="41.4" x14ac:dyDescent="0.3">
      <c r="A19" s="240" t="s">
        <v>9</v>
      </c>
      <c r="B19" s="233" t="s">
        <v>168</v>
      </c>
      <c r="C19" s="215" t="s">
        <v>169</v>
      </c>
      <c r="D19" s="241" t="s">
        <v>131</v>
      </c>
      <c r="E19" s="236">
        <v>347.87</v>
      </c>
      <c r="F19" s="218">
        <f t="shared" ref="F19:F26" si="3">I19</f>
        <v>126.48</v>
      </c>
      <c r="G19" s="218">
        <f t="shared" ref="G19:G29" si="4">TRUNC(F19*E19,2)</f>
        <v>43998.59</v>
      </c>
      <c r="H19" s="219">
        <f t="shared" ref="H19:H26" si="5">G19/$G$27</f>
        <v>0.58637133394557794</v>
      </c>
      <c r="I19" s="205">
        <f t="shared" si="2"/>
        <v>126.48</v>
      </c>
      <c r="J19" s="206">
        <v>100.06</v>
      </c>
      <c r="L19" s="206">
        <v>98.51</v>
      </c>
      <c r="N19" s="236">
        <f>(25.47*4*2+2.98*4*4)+(19.55+23.15+16.93+16.92-(2.98+3.37)*4)*1.2+(((4+1.2)*3.37)/2)*4</f>
        <v>347.86799999999999</v>
      </c>
    </row>
    <row r="20" spans="1:14" s="187" customFormat="1" x14ac:dyDescent="0.3">
      <c r="A20" s="240" t="s">
        <v>10</v>
      </c>
      <c r="B20" s="242" t="s">
        <v>78</v>
      </c>
      <c r="C20" s="243" t="s">
        <v>75</v>
      </c>
      <c r="D20" s="244" t="s">
        <v>20</v>
      </c>
      <c r="E20" s="236">
        <v>140</v>
      </c>
      <c r="F20" s="218">
        <f t="shared" si="3"/>
        <v>53.73</v>
      </c>
      <c r="G20" s="218">
        <f t="shared" si="4"/>
        <v>7522.2</v>
      </c>
      <c r="H20" s="219">
        <f t="shared" si="5"/>
        <v>0.10024872270237356</v>
      </c>
      <c r="I20" s="205">
        <f t="shared" si="2"/>
        <v>53.73</v>
      </c>
      <c r="J20" s="206">
        <f>'Comp 01'!H62</f>
        <v>42.510000000000005</v>
      </c>
      <c r="L20" s="206">
        <f>'Comp 01'!J62</f>
        <v>0</v>
      </c>
      <c r="N20" s="236">
        <f>45*2+25*2</f>
        <v>140</v>
      </c>
    </row>
    <row r="21" spans="1:14" s="187" customFormat="1" x14ac:dyDescent="0.3">
      <c r="A21" s="240" t="s">
        <v>11</v>
      </c>
      <c r="B21" s="233">
        <v>370</v>
      </c>
      <c r="C21" s="245" t="s">
        <v>118</v>
      </c>
      <c r="D21" s="235" t="s">
        <v>130</v>
      </c>
      <c r="E21" s="236">
        <v>168.75</v>
      </c>
      <c r="F21" s="218">
        <f t="shared" si="3"/>
        <v>58.14</v>
      </c>
      <c r="G21" s="218">
        <f t="shared" si="4"/>
        <v>9811.1200000000008</v>
      </c>
      <c r="H21" s="219">
        <f t="shared" si="5"/>
        <v>0.13075327009115836</v>
      </c>
      <c r="I21" s="205">
        <f t="shared" si="2"/>
        <v>58.14</v>
      </c>
      <c r="J21" s="206">
        <v>46</v>
      </c>
      <c r="L21" s="206">
        <v>44</v>
      </c>
      <c r="N21" s="236">
        <f>45*25*0.15</f>
        <v>168.75</v>
      </c>
    </row>
    <row r="22" spans="1:14" s="187" customFormat="1" ht="27.6" x14ac:dyDescent="0.3">
      <c r="A22" s="240" t="s">
        <v>12</v>
      </c>
      <c r="B22" s="233">
        <v>95302</v>
      </c>
      <c r="C22" s="245" t="s">
        <v>155</v>
      </c>
      <c r="D22" s="235" t="s">
        <v>154</v>
      </c>
      <c r="E22" s="236">
        <v>2531.25</v>
      </c>
      <c r="F22" s="218">
        <f t="shared" si="3"/>
        <v>1.87</v>
      </c>
      <c r="G22" s="218">
        <f t="shared" si="4"/>
        <v>4733.43</v>
      </c>
      <c r="H22" s="219">
        <f t="shared" si="5"/>
        <v>6.3082650222155243E-2</v>
      </c>
      <c r="I22" s="205">
        <f t="shared" si="2"/>
        <v>1.87</v>
      </c>
      <c r="J22" s="206">
        <v>1.48</v>
      </c>
      <c r="L22" s="206">
        <v>1.47</v>
      </c>
      <c r="N22" s="236">
        <f>N21*15</f>
        <v>2531.25</v>
      </c>
    </row>
    <row r="23" spans="1:14" s="187" customFormat="1" ht="41.4" x14ac:dyDescent="0.3">
      <c r="A23" s="240" t="s">
        <v>127</v>
      </c>
      <c r="B23" s="214">
        <v>90877</v>
      </c>
      <c r="C23" s="215" t="s">
        <v>454</v>
      </c>
      <c r="D23" s="246" t="s">
        <v>20</v>
      </c>
      <c r="E23" s="236">
        <v>94</v>
      </c>
      <c r="F23" s="218">
        <f t="shared" si="3"/>
        <v>47.58</v>
      </c>
      <c r="G23" s="218">
        <f t="shared" si="4"/>
        <v>4472.5200000000004</v>
      </c>
      <c r="H23" s="219">
        <f t="shared" si="5"/>
        <v>5.960549005089201E-2</v>
      </c>
      <c r="I23" s="205">
        <f t="shared" si="2"/>
        <v>47.58</v>
      </c>
      <c r="J23" s="206">
        <v>37.64</v>
      </c>
      <c r="L23" s="206">
        <v>38.950000000000003</v>
      </c>
      <c r="N23" s="236">
        <v>94</v>
      </c>
    </row>
    <row r="24" spans="1:14" s="187" customFormat="1" ht="27.6" x14ac:dyDescent="0.3">
      <c r="A24" s="240" t="s">
        <v>128</v>
      </c>
      <c r="B24" s="214">
        <v>96545</v>
      </c>
      <c r="C24" s="215" t="s">
        <v>174</v>
      </c>
      <c r="D24" s="246" t="s">
        <v>132</v>
      </c>
      <c r="E24" s="236">
        <v>148.52000000000001</v>
      </c>
      <c r="F24" s="218">
        <f t="shared" si="3"/>
        <v>11.19</v>
      </c>
      <c r="G24" s="218">
        <f t="shared" si="4"/>
        <v>1661.93</v>
      </c>
      <c r="H24" s="219">
        <f t="shared" si="5"/>
        <v>2.2148621376825359E-2</v>
      </c>
      <c r="I24" s="205">
        <f t="shared" si="2"/>
        <v>11.19</v>
      </c>
      <c r="J24" s="206">
        <v>8.86</v>
      </c>
      <c r="L24" s="206">
        <v>9.25</v>
      </c>
      <c r="N24" s="236">
        <f>47*2*4*0.395</f>
        <v>148.52000000000001</v>
      </c>
    </row>
    <row r="25" spans="1:14" s="187" customFormat="1" ht="27.6" x14ac:dyDescent="0.3">
      <c r="A25" s="240" t="s">
        <v>129</v>
      </c>
      <c r="B25" s="214">
        <v>96543</v>
      </c>
      <c r="C25" s="215" t="s">
        <v>175</v>
      </c>
      <c r="D25" s="246" t="s">
        <v>132</v>
      </c>
      <c r="E25" s="236">
        <v>14.48</v>
      </c>
      <c r="F25" s="218">
        <f t="shared" si="3"/>
        <v>13.39</v>
      </c>
      <c r="G25" s="218">
        <f t="shared" si="4"/>
        <v>193.88</v>
      </c>
      <c r="H25" s="219">
        <f t="shared" si="5"/>
        <v>2.5838481238914398E-3</v>
      </c>
      <c r="I25" s="205">
        <f t="shared" si="2"/>
        <v>13.39</v>
      </c>
      <c r="J25" s="206">
        <v>10.6</v>
      </c>
      <c r="L25" s="206">
        <v>10.92</v>
      </c>
      <c r="N25" s="236">
        <f>'Memória de Calculo'!M24</f>
        <v>0</v>
      </c>
    </row>
    <row r="26" spans="1:14" s="187" customFormat="1" x14ac:dyDescent="0.3">
      <c r="A26" s="240" t="s">
        <v>262</v>
      </c>
      <c r="B26" s="214">
        <v>68054</v>
      </c>
      <c r="C26" s="215" t="s">
        <v>263</v>
      </c>
      <c r="D26" s="246" t="s">
        <v>131</v>
      </c>
      <c r="E26" s="236">
        <v>10</v>
      </c>
      <c r="F26" s="218">
        <f t="shared" si="3"/>
        <v>264.17</v>
      </c>
      <c r="G26" s="218">
        <f t="shared" si="4"/>
        <v>2641.7</v>
      </c>
      <c r="H26" s="219">
        <f t="shared" si="5"/>
        <v>3.5206063487126141E-2</v>
      </c>
      <c r="I26" s="205">
        <f t="shared" si="2"/>
        <v>264.17</v>
      </c>
      <c r="J26" s="206">
        <v>208.98</v>
      </c>
      <c r="L26" s="206">
        <v>197.73</v>
      </c>
      <c r="N26" s="236">
        <f>2*2.5*2</f>
        <v>10</v>
      </c>
    </row>
    <row r="27" spans="1:14" s="187" customFormat="1" x14ac:dyDescent="0.3">
      <c r="A27" s="240"/>
      <c r="B27" s="233"/>
      <c r="C27" s="220" t="s">
        <v>176</v>
      </c>
      <c r="D27" s="235"/>
      <c r="E27" s="236"/>
      <c r="F27" s="237"/>
      <c r="G27" s="238">
        <f>SUM(G19:G26)</f>
        <v>75035.37</v>
      </c>
      <c r="H27" s="222">
        <f>G27/$G$164</f>
        <v>0.2501234360653849</v>
      </c>
      <c r="I27" s="205">
        <f t="shared" si="2"/>
        <v>0</v>
      </c>
      <c r="J27" s="206"/>
      <c r="L27" s="206"/>
    </row>
    <row r="28" spans="1:14" s="187" customFormat="1" x14ac:dyDescent="0.3">
      <c r="A28" s="224" t="s">
        <v>181</v>
      </c>
      <c r="B28" s="225"/>
      <c r="C28" s="226" t="s">
        <v>183</v>
      </c>
      <c r="D28" s="227"/>
      <c r="E28" s="228"/>
      <c r="F28" s="229"/>
      <c r="G28" s="230"/>
      <c r="H28" s="231"/>
      <c r="I28" s="205">
        <f t="shared" si="2"/>
        <v>0</v>
      </c>
      <c r="J28" s="206"/>
      <c r="L28" s="206"/>
    </row>
    <row r="29" spans="1:14" s="187" customFormat="1" x14ac:dyDescent="0.3">
      <c r="A29" s="240" t="s">
        <v>13</v>
      </c>
      <c r="B29" s="214">
        <v>85422</v>
      </c>
      <c r="C29" s="215" t="s">
        <v>69</v>
      </c>
      <c r="D29" s="247" t="s">
        <v>131</v>
      </c>
      <c r="E29" s="236">
        <f>'Memória de Calculo'!D28</f>
        <v>412.29100000000005</v>
      </c>
      <c r="F29" s="218">
        <f t="shared" ref="F29:F32" si="6">I29</f>
        <v>6.54</v>
      </c>
      <c r="G29" s="218">
        <f t="shared" si="4"/>
        <v>2696.38</v>
      </c>
      <c r="H29" s="219">
        <f t="shared" ref="H29:H34" si="7">G29/$G$35</f>
        <v>8.0343306000793202E-2</v>
      </c>
      <c r="I29" s="205">
        <f t="shared" si="2"/>
        <v>6.54</v>
      </c>
      <c r="J29" s="206">
        <v>5.18</v>
      </c>
      <c r="L29" s="206">
        <v>5.19</v>
      </c>
      <c r="N29" s="236">
        <f>250.19+74.16+34.24</f>
        <v>358.59000000000003</v>
      </c>
    </row>
    <row r="30" spans="1:14" s="187" customFormat="1" x14ac:dyDescent="0.3">
      <c r="A30" s="240" t="s">
        <v>14</v>
      </c>
      <c r="B30" s="214">
        <v>79472</v>
      </c>
      <c r="C30" s="215" t="s">
        <v>70</v>
      </c>
      <c r="D30" s="247" t="s">
        <v>131</v>
      </c>
      <c r="E30" s="236">
        <f>'Memória de Calculo'!D29</f>
        <v>412.29100000000005</v>
      </c>
      <c r="F30" s="218">
        <f t="shared" si="6"/>
        <v>0.6</v>
      </c>
      <c r="G30" s="218">
        <f t="shared" ref="G30:G32" si="8">TRUNC(F30*E30,2)</f>
        <v>247.37</v>
      </c>
      <c r="H30" s="219">
        <f t="shared" si="7"/>
        <v>7.3708170233484204E-3</v>
      </c>
      <c r="I30" s="205">
        <f t="shared" si="2"/>
        <v>0.6</v>
      </c>
      <c r="J30" s="206">
        <v>0.48</v>
      </c>
      <c r="L30" s="206">
        <v>0.49</v>
      </c>
      <c r="N30" s="236">
        <f>N29</f>
        <v>358.59000000000003</v>
      </c>
    </row>
    <row r="31" spans="1:14" s="187" customFormat="1" ht="27.6" x14ac:dyDescent="0.3">
      <c r="A31" s="240" t="s">
        <v>15</v>
      </c>
      <c r="B31" s="214">
        <v>94991</v>
      </c>
      <c r="C31" s="215" t="s">
        <v>68</v>
      </c>
      <c r="D31" s="247" t="s">
        <v>130</v>
      </c>
      <c r="E31" s="236">
        <f>'Memória de Calculo'!D30</f>
        <v>28.860370000000007</v>
      </c>
      <c r="F31" s="218">
        <f t="shared" si="6"/>
        <v>487</v>
      </c>
      <c r="G31" s="218">
        <f t="shared" si="8"/>
        <v>14055</v>
      </c>
      <c r="H31" s="219">
        <f t="shared" si="7"/>
        <v>0.41879303578915006</v>
      </c>
      <c r="I31" s="205">
        <f t="shared" si="2"/>
        <v>487</v>
      </c>
      <c r="J31" s="206">
        <v>385.26</v>
      </c>
      <c r="L31" s="206">
        <v>379.72</v>
      </c>
      <c r="N31" s="236">
        <f>N29*0.07</f>
        <v>25.101300000000005</v>
      </c>
    </row>
    <row r="32" spans="1:14" s="187" customFormat="1" ht="27.6" x14ac:dyDescent="0.3">
      <c r="A32" s="240" t="s">
        <v>16</v>
      </c>
      <c r="B32" s="233">
        <v>94263</v>
      </c>
      <c r="C32" s="245" t="s">
        <v>74</v>
      </c>
      <c r="D32" s="247" t="s">
        <v>20</v>
      </c>
      <c r="E32" s="236">
        <f>'Memória de Calculo'!D31</f>
        <v>294.69600000000003</v>
      </c>
      <c r="F32" s="218">
        <f t="shared" si="6"/>
        <v>24.38</v>
      </c>
      <c r="G32" s="218">
        <f t="shared" si="8"/>
        <v>7184.68</v>
      </c>
      <c r="H32" s="219">
        <f t="shared" si="7"/>
        <v>0.21407996786720673</v>
      </c>
      <c r="I32" s="205">
        <f t="shared" si="2"/>
        <v>24.38</v>
      </c>
      <c r="J32" s="206">
        <v>19.29</v>
      </c>
      <c r="L32" s="206">
        <v>19.2</v>
      </c>
      <c r="N32" s="236"/>
    </row>
    <row r="33" spans="1:14" s="187" customFormat="1" x14ac:dyDescent="0.3">
      <c r="A33" s="240" t="s">
        <v>532</v>
      </c>
      <c r="B33" s="233" t="s">
        <v>533</v>
      </c>
      <c r="C33" s="245" t="s">
        <v>534</v>
      </c>
      <c r="D33" s="247" t="s">
        <v>3</v>
      </c>
      <c r="E33" s="236">
        <v>16</v>
      </c>
      <c r="F33" s="218">
        <f t="shared" ref="F33:F34" si="9">I33</f>
        <v>283.85000000000002</v>
      </c>
      <c r="G33" s="218">
        <f t="shared" ref="G33:G34" si="10">TRUNC(F33*E33,2)</f>
        <v>4541.6000000000004</v>
      </c>
      <c r="H33" s="219">
        <f t="shared" si="7"/>
        <v>0.13532482755887612</v>
      </c>
      <c r="I33" s="205">
        <f t="shared" si="2"/>
        <v>283.85000000000002</v>
      </c>
      <c r="J33" s="206">
        <f>'Comp 07'!G15</f>
        <v>224.55</v>
      </c>
      <c r="L33" s="206"/>
      <c r="N33" s="236"/>
    </row>
    <row r="34" spans="1:14" s="187" customFormat="1" x14ac:dyDescent="0.3">
      <c r="A34" s="240" t="s">
        <v>547</v>
      </c>
      <c r="B34" s="233" t="s">
        <v>548</v>
      </c>
      <c r="C34" s="245" t="s">
        <v>549</v>
      </c>
      <c r="D34" s="247" t="s">
        <v>3</v>
      </c>
      <c r="E34" s="236">
        <v>6</v>
      </c>
      <c r="F34" s="218">
        <f t="shared" si="9"/>
        <v>805.95</v>
      </c>
      <c r="G34" s="218">
        <f t="shared" si="10"/>
        <v>4835.7</v>
      </c>
      <c r="H34" s="219">
        <f t="shared" si="7"/>
        <v>0.14408804576062559</v>
      </c>
      <c r="I34" s="205">
        <f t="shared" si="2"/>
        <v>805.95</v>
      </c>
      <c r="J34" s="206">
        <f>'Comp 08'!G11</f>
        <v>637.56999999999994</v>
      </c>
      <c r="L34" s="206"/>
      <c r="N34" s="236"/>
    </row>
    <row r="35" spans="1:14" s="187" customFormat="1" x14ac:dyDescent="0.3">
      <c r="A35" s="240"/>
      <c r="B35" s="233"/>
      <c r="C35" s="220" t="s">
        <v>182</v>
      </c>
      <c r="D35" s="235"/>
      <c r="E35" s="236"/>
      <c r="F35" s="237"/>
      <c r="G35" s="238">
        <f>SUM(G29:G34)</f>
        <v>33560.729999999996</v>
      </c>
      <c r="H35" s="222">
        <f>G35/$G$164</f>
        <v>0.11187157609088413</v>
      </c>
      <c r="I35" s="205">
        <f t="shared" si="2"/>
        <v>0</v>
      </c>
      <c r="J35" s="206"/>
      <c r="L35" s="206"/>
      <c r="N35" s="236"/>
    </row>
    <row r="36" spans="1:14" s="187" customFormat="1" x14ac:dyDescent="0.3">
      <c r="A36" s="224" t="s">
        <v>185</v>
      </c>
      <c r="B36" s="225"/>
      <c r="C36" s="226" t="s">
        <v>403</v>
      </c>
      <c r="D36" s="227"/>
      <c r="E36" s="228"/>
      <c r="F36" s="229"/>
      <c r="G36" s="230"/>
      <c r="H36" s="231"/>
      <c r="I36" s="205">
        <f t="shared" si="2"/>
        <v>0</v>
      </c>
      <c r="J36" s="206"/>
      <c r="L36" s="206"/>
      <c r="N36" s="228"/>
    </row>
    <row r="37" spans="1:14" s="187" customFormat="1" x14ac:dyDescent="0.3">
      <c r="A37" s="240" t="s">
        <v>17</v>
      </c>
      <c r="B37" s="233" t="s">
        <v>496</v>
      </c>
      <c r="C37" s="245" t="s">
        <v>135</v>
      </c>
      <c r="D37" s="347" t="s">
        <v>137</v>
      </c>
      <c r="E37" s="236">
        <v>1</v>
      </c>
      <c r="F37" s="218">
        <f t="shared" ref="F37:F41" si="11">I37</f>
        <v>721.66</v>
      </c>
      <c r="G37" s="218">
        <f t="shared" ref="G37:G41" si="12">TRUNC(F37*E37,2)</f>
        <v>721.66</v>
      </c>
      <c r="H37" s="219">
        <f>G37/$G$42</f>
        <v>6.1074865500055434E-2</v>
      </c>
      <c r="I37" s="205">
        <f t="shared" si="2"/>
        <v>721.66</v>
      </c>
      <c r="J37" s="206">
        <f>'Comp 02'!G18</f>
        <v>570.88999999999987</v>
      </c>
      <c r="L37" s="206">
        <v>889.13</v>
      </c>
      <c r="M37" s="187" t="s">
        <v>135</v>
      </c>
      <c r="N37" s="236"/>
    </row>
    <row r="38" spans="1:14" s="187" customFormat="1" x14ac:dyDescent="0.3">
      <c r="A38" s="240" t="s">
        <v>148</v>
      </c>
      <c r="B38" s="233" t="s">
        <v>497</v>
      </c>
      <c r="C38" s="245" t="s">
        <v>136</v>
      </c>
      <c r="D38" s="347" t="s">
        <v>137</v>
      </c>
      <c r="E38" s="236">
        <v>1</v>
      </c>
      <c r="F38" s="218">
        <f t="shared" si="11"/>
        <v>1458.35</v>
      </c>
      <c r="G38" s="218">
        <f t="shared" si="12"/>
        <v>1458.35</v>
      </c>
      <c r="H38" s="219">
        <f>G38/$G$42</f>
        <v>0.12342173613891007</v>
      </c>
      <c r="I38" s="205">
        <f t="shared" si="2"/>
        <v>1458.35</v>
      </c>
      <c r="J38" s="206">
        <f>'Comp 03'!G20</f>
        <v>1153.67</v>
      </c>
      <c r="L38" s="206">
        <v>1726.78</v>
      </c>
      <c r="M38" s="187" t="s">
        <v>136</v>
      </c>
      <c r="N38" s="236"/>
    </row>
    <row r="39" spans="1:14" s="187" customFormat="1" x14ac:dyDescent="0.3">
      <c r="A39" s="240" t="s">
        <v>149</v>
      </c>
      <c r="B39" s="233" t="s">
        <v>498</v>
      </c>
      <c r="C39" s="245" t="s">
        <v>138</v>
      </c>
      <c r="D39" s="347" t="s">
        <v>137</v>
      </c>
      <c r="E39" s="236">
        <v>1</v>
      </c>
      <c r="F39" s="218">
        <f t="shared" si="11"/>
        <v>1092.6199999999999</v>
      </c>
      <c r="G39" s="218">
        <f t="shared" si="12"/>
        <v>1092.6199999999999</v>
      </c>
      <c r="H39" s="219">
        <f>G39/$G$42</f>
        <v>9.2469611094796109E-2</v>
      </c>
      <c r="I39" s="205">
        <f t="shared" si="2"/>
        <v>1092.6199999999999</v>
      </c>
      <c r="J39" s="206">
        <f>'Comp 04'!G23</f>
        <v>864.34999999999991</v>
      </c>
      <c r="L39" s="206">
        <v>1591.07</v>
      </c>
      <c r="M39" s="187" t="s">
        <v>138</v>
      </c>
      <c r="N39" s="236"/>
    </row>
    <row r="40" spans="1:14" s="187" customFormat="1" x14ac:dyDescent="0.3">
      <c r="A40" s="240" t="s">
        <v>150</v>
      </c>
      <c r="B40" s="233" t="s">
        <v>499</v>
      </c>
      <c r="C40" s="245" t="s">
        <v>139</v>
      </c>
      <c r="D40" s="347" t="s">
        <v>137</v>
      </c>
      <c r="E40" s="236">
        <v>1</v>
      </c>
      <c r="F40" s="218">
        <f t="shared" si="11"/>
        <v>5690.58</v>
      </c>
      <c r="G40" s="218">
        <f t="shared" si="12"/>
        <v>5690.58</v>
      </c>
      <c r="H40" s="219">
        <f>G40/$G$42</f>
        <v>0.48159993364923293</v>
      </c>
      <c r="I40" s="205">
        <f t="shared" si="2"/>
        <v>5690.58</v>
      </c>
      <c r="J40" s="206">
        <f>'Comp 05'!G32</f>
        <v>4501.6900000000005</v>
      </c>
      <c r="L40" s="206">
        <v>1731.46</v>
      </c>
      <c r="M40" s="187" t="s">
        <v>139</v>
      </c>
      <c r="N40" s="236"/>
    </row>
    <row r="41" spans="1:14" s="187" customFormat="1" x14ac:dyDescent="0.3">
      <c r="A41" s="240" t="s">
        <v>189</v>
      </c>
      <c r="B41" s="233" t="s">
        <v>500</v>
      </c>
      <c r="C41" s="245" t="s">
        <v>140</v>
      </c>
      <c r="D41" s="347" t="s">
        <v>137</v>
      </c>
      <c r="E41" s="236">
        <v>1</v>
      </c>
      <c r="F41" s="218">
        <f t="shared" si="11"/>
        <v>2852.78</v>
      </c>
      <c r="G41" s="218">
        <f t="shared" si="12"/>
        <v>2852.78</v>
      </c>
      <c r="H41" s="219">
        <f>G41/$G$42</f>
        <v>0.24143385361700545</v>
      </c>
      <c r="I41" s="205">
        <f t="shared" si="2"/>
        <v>2852.78</v>
      </c>
      <c r="J41" s="206">
        <f>'Comp 06'!G27</f>
        <v>2256.77</v>
      </c>
      <c r="L41" s="206">
        <v>1291.58</v>
      </c>
      <c r="M41" s="187" t="s">
        <v>140</v>
      </c>
      <c r="N41" s="236"/>
    </row>
    <row r="42" spans="1:14" s="187" customFormat="1" x14ac:dyDescent="0.3">
      <c r="A42" s="240"/>
      <c r="B42" s="233"/>
      <c r="C42" s="248" t="s">
        <v>184</v>
      </c>
      <c r="D42" s="347"/>
      <c r="E42" s="236"/>
      <c r="F42" s="237"/>
      <c r="G42" s="249">
        <f>SUM(G37:G41)</f>
        <v>11815.99</v>
      </c>
      <c r="H42" s="222">
        <f>G42/$G$164</f>
        <v>3.9387505110113102E-2</v>
      </c>
      <c r="I42" s="205">
        <f t="shared" si="2"/>
        <v>0</v>
      </c>
      <c r="J42" s="206"/>
      <c r="L42" s="206"/>
      <c r="N42" s="236"/>
    </row>
    <row r="43" spans="1:14" s="187" customFormat="1" x14ac:dyDescent="0.3">
      <c r="A43" s="224" t="s">
        <v>265</v>
      </c>
      <c r="B43" s="225"/>
      <c r="C43" s="226" t="s">
        <v>404</v>
      </c>
      <c r="D43" s="227"/>
      <c r="E43" s="228"/>
      <c r="F43" s="229"/>
      <c r="G43" s="230"/>
      <c r="H43" s="231"/>
      <c r="I43" s="205">
        <f t="shared" si="2"/>
        <v>0</v>
      </c>
      <c r="J43" s="206"/>
      <c r="L43" s="206"/>
      <c r="N43" s="228"/>
    </row>
    <row r="44" spans="1:14" s="187" customFormat="1" x14ac:dyDescent="0.3">
      <c r="A44" s="259" t="s">
        <v>266</v>
      </c>
      <c r="B44" s="233"/>
      <c r="C44" s="234" t="s">
        <v>190</v>
      </c>
      <c r="D44" s="247"/>
      <c r="E44" s="236"/>
      <c r="F44" s="237"/>
      <c r="G44" s="218"/>
      <c r="H44" s="219"/>
      <c r="I44" s="205">
        <f t="shared" si="2"/>
        <v>0</v>
      </c>
      <c r="J44" s="206"/>
      <c r="L44" s="206"/>
      <c r="N44" s="236"/>
    </row>
    <row r="45" spans="1:14" s="187" customFormat="1" ht="27.6" x14ac:dyDescent="0.3">
      <c r="A45" s="240" t="s">
        <v>267</v>
      </c>
      <c r="B45" s="233">
        <v>96527</v>
      </c>
      <c r="C45" s="245" t="s">
        <v>191</v>
      </c>
      <c r="D45" s="247" t="s">
        <v>19</v>
      </c>
      <c r="E45" s="236">
        <f>'Memória de Calculo'!D44</f>
        <v>9.31</v>
      </c>
      <c r="F45" s="218">
        <f t="shared" ref="F45:F107" si="13">I45</f>
        <v>97.31</v>
      </c>
      <c r="G45" s="218">
        <f t="shared" ref="G45:G100" si="14">TRUNC(F45*E45,2)</f>
        <v>905.95</v>
      </c>
      <c r="H45" s="219">
        <f>G45/$G$158</f>
        <v>7.03922377163622E-3</v>
      </c>
      <c r="I45" s="205">
        <f t="shared" si="2"/>
        <v>97.31</v>
      </c>
      <c r="J45" s="206">
        <v>76.98</v>
      </c>
      <c r="L45" s="206">
        <v>77.099999999999994</v>
      </c>
      <c r="N45" s="236"/>
    </row>
    <row r="46" spans="1:14" s="187" customFormat="1" x14ac:dyDescent="0.3">
      <c r="A46" s="240" t="s">
        <v>268</v>
      </c>
      <c r="B46" s="233">
        <v>94097</v>
      </c>
      <c r="C46" s="245" t="s">
        <v>192</v>
      </c>
      <c r="D46" s="247" t="s">
        <v>18</v>
      </c>
      <c r="E46" s="236">
        <f>'Memória de Calculo'!D45</f>
        <v>23.28</v>
      </c>
      <c r="F46" s="218">
        <f t="shared" si="13"/>
        <v>5.04</v>
      </c>
      <c r="G46" s="218">
        <f t="shared" si="14"/>
        <v>117.33</v>
      </c>
      <c r="H46" s="219">
        <f>G46/$G$158</f>
        <v>9.1165309909606231E-4</v>
      </c>
      <c r="I46" s="205">
        <f t="shared" si="2"/>
        <v>5.04</v>
      </c>
      <c r="J46" s="206">
        <v>3.99</v>
      </c>
      <c r="L46" s="206">
        <v>3.98</v>
      </c>
      <c r="N46" s="236"/>
    </row>
    <row r="47" spans="1:14" s="187" customFormat="1" x14ac:dyDescent="0.3">
      <c r="A47" s="240" t="s">
        <v>269</v>
      </c>
      <c r="B47" s="233">
        <v>94103</v>
      </c>
      <c r="C47" s="245" t="s">
        <v>193</v>
      </c>
      <c r="D47" s="247" t="s">
        <v>19</v>
      </c>
      <c r="E47" s="236">
        <f>'Memória de Calculo'!D46</f>
        <v>1.1599999999999999</v>
      </c>
      <c r="F47" s="218">
        <f t="shared" si="13"/>
        <v>214.82</v>
      </c>
      <c r="G47" s="218">
        <f t="shared" si="14"/>
        <v>249.19</v>
      </c>
      <c r="H47" s="219">
        <f>G47/$G$158</f>
        <v>1.9362041742414368E-3</v>
      </c>
      <c r="I47" s="205">
        <f t="shared" si="2"/>
        <v>214.82</v>
      </c>
      <c r="J47" s="206">
        <v>169.94</v>
      </c>
      <c r="L47" s="206">
        <v>169.9</v>
      </c>
      <c r="N47" s="236"/>
    </row>
    <row r="48" spans="1:14" s="187" customFormat="1" ht="27.6" x14ac:dyDescent="0.3">
      <c r="A48" s="240" t="s">
        <v>270</v>
      </c>
      <c r="B48" s="233" t="s">
        <v>254</v>
      </c>
      <c r="C48" s="245" t="s">
        <v>194</v>
      </c>
      <c r="D48" s="247" t="s">
        <v>19</v>
      </c>
      <c r="E48" s="236">
        <f>'Memória de Calculo'!D47</f>
        <v>27.44</v>
      </c>
      <c r="F48" s="218">
        <f t="shared" si="13"/>
        <v>6.52</v>
      </c>
      <c r="G48" s="218">
        <f t="shared" si="14"/>
        <v>178.9</v>
      </c>
      <c r="H48" s="219">
        <f>G48/$G$158</f>
        <v>1.3900514738624868E-3</v>
      </c>
      <c r="I48" s="205">
        <f t="shared" si="2"/>
        <v>6.52</v>
      </c>
      <c r="J48" s="206">
        <v>5.16</v>
      </c>
      <c r="L48" s="206">
        <v>5.19</v>
      </c>
      <c r="N48" s="236"/>
    </row>
    <row r="49" spans="1:14" s="187" customFormat="1" x14ac:dyDescent="0.3">
      <c r="A49" s="259" t="s">
        <v>271</v>
      </c>
      <c r="B49" s="233"/>
      <c r="C49" s="234" t="s">
        <v>195</v>
      </c>
      <c r="D49" s="247"/>
      <c r="E49" s="236">
        <f>'Memória de Calculo'!D48</f>
        <v>0</v>
      </c>
      <c r="F49" s="218">
        <f t="shared" si="13"/>
        <v>0</v>
      </c>
      <c r="G49" s="218"/>
      <c r="H49" s="219"/>
      <c r="I49" s="205">
        <f t="shared" si="2"/>
        <v>0</v>
      </c>
      <c r="J49" s="206"/>
      <c r="L49" s="206"/>
      <c r="N49" s="236"/>
    </row>
    <row r="50" spans="1:14" s="187" customFormat="1" ht="41.4" x14ac:dyDescent="0.3">
      <c r="A50" s="240" t="s">
        <v>272</v>
      </c>
      <c r="B50" s="214">
        <v>90877</v>
      </c>
      <c r="C50" s="215" t="s">
        <v>454</v>
      </c>
      <c r="D50" s="247" t="s">
        <v>20</v>
      </c>
      <c r="E50" s="236">
        <f>'Memória de Calculo'!D49</f>
        <v>72</v>
      </c>
      <c r="F50" s="218">
        <f t="shared" si="13"/>
        <v>47.58</v>
      </c>
      <c r="G50" s="218">
        <f t="shared" si="14"/>
        <v>3425.76</v>
      </c>
      <c r="H50" s="219">
        <f t="shared" ref="H50:H55" si="15">G50/$G$158</f>
        <v>2.661812597595949E-2</v>
      </c>
      <c r="I50" s="205">
        <f t="shared" si="2"/>
        <v>47.58</v>
      </c>
      <c r="J50" s="206">
        <v>37.64</v>
      </c>
      <c r="L50" s="206">
        <v>38.950000000000003</v>
      </c>
      <c r="N50" s="236"/>
    </row>
    <row r="51" spans="1:14" s="187" customFormat="1" ht="27.6" x14ac:dyDescent="0.3">
      <c r="A51" s="240" t="s">
        <v>273</v>
      </c>
      <c r="B51" s="233">
        <v>96533</v>
      </c>
      <c r="C51" s="245" t="s">
        <v>196</v>
      </c>
      <c r="D51" s="247" t="s">
        <v>18</v>
      </c>
      <c r="E51" s="236">
        <f>'Memória de Calculo'!D50</f>
        <v>17.71</v>
      </c>
      <c r="F51" s="218">
        <f t="shared" si="13"/>
        <v>66.03</v>
      </c>
      <c r="G51" s="218">
        <f t="shared" si="14"/>
        <v>1169.3900000000001</v>
      </c>
      <c r="H51" s="219">
        <f t="shared" si="15"/>
        <v>9.0861503243155582E-3</v>
      </c>
      <c r="I51" s="205">
        <f t="shared" si="2"/>
        <v>66.03</v>
      </c>
      <c r="J51" s="206">
        <v>52.24</v>
      </c>
      <c r="L51" s="206">
        <v>52.01</v>
      </c>
      <c r="N51" s="236"/>
    </row>
    <row r="52" spans="1:14" s="187" customFormat="1" ht="41.4" x14ac:dyDescent="0.3">
      <c r="A52" s="240" t="s">
        <v>274</v>
      </c>
      <c r="B52" s="233">
        <v>92915</v>
      </c>
      <c r="C52" s="245" t="s">
        <v>197</v>
      </c>
      <c r="D52" s="247" t="s">
        <v>132</v>
      </c>
      <c r="E52" s="236">
        <f>'Memória de Calculo'!D51</f>
        <v>39.909999999999997</v>
      </c>
      <c r="F52" s="218">
        <f t="shared" si="13"/>
        <v>12.19</v>
      </c>
      <c r="G52" s="218">
        <f t="shared" si="14"/>
        <v>486.5</v>
      </c>
      <c r="H52" s="219">
        <f t="shared" si="15"/>
        <v>3.7801008498272765E-3</v>
      </c>
      <c r="I52" s="205">
        <f t="shared" si="2"/>
        <v>12.19</v>
      </c>
      <c r="J52" s="206">
        <v>9.65</v>
      </c>
      <c r="L52" s="206">
        <v>9.9700000000000006</v>
      </c>
      <c r="N52" s="236"/>
    </row>
    <row r="53" spans="1:14" s="187" customFormat="1" ht="27.6" x14ac:dyDescent="0.3">
      <c r="A53" s="240" t="s">
        <v>275</v>
      </c>
      <c r="B53" s="233">
        <v>92917</v>
      </c>
      <c r="C53" s="245" t="s">
        <v>414</v>
      </c>
      <c r="D53" s="247" t="s">
        <v>132</v>
      </c>
      <c r="E53" s="236">
        <f>'Memória de Calculo'!D52</f>
        <v>76.78</v>
      </c>
      <c r="F53" s="218">
        <f t="shared" si="13"/>
        <v>10.51</v>
      </c>
      <c r="G53" s="218">
        <f t="shared" si="14"/>
        <v>806.95</v>
      </c>
      <c r="H53" s="219">
        <f t="shared" si="15"/>
        <v>6.2699946161729105E-3</v>
      </c>
      <c r="I53" s="205">
        <f t="shared" si="2"/>
        <v>10.51</v>
      </c>
      <c r="J53" s="206">
        <v>8.32</v>
      </c>
      <c r="L53" s="206">
        <v>8.84</v>
      </c>
      <c r="N53" s="236"/>
    </row>
    <row r="54" spans="1:14" s="187" customFormat="1" x14ac:dyDescent="0.3">
      <c r="A54" s="240" t="s">
        <v>276</v>
      </c>
      <c r="B54" s="233">
        <v>94964</v>
      </c>
      <c r="C54" s="245" t="s">
        <v>198</v>
      </c>
      <c r="D54" s="247" t="s">
        <v>19</v>
      </c>
      <c r="E54" s="236">
        <f>'Memória de Calculo'!D53</f>
        <v>1.4580000000000002</v>
      </c>
      <c r="F54" s="218">
        <f t="shared" si="13"/>
        <v>353.91</v>
      </c>
      <c r="G54" s="218">
        <f t="shared" si="14"/>
        <v>516</v>
      </c>
      <c r="H54" s="219">
        <f t="shared" si="15"/>
        <v>4.0093155981724042E-3</v>
      </c>
      <c r="I54" s="205">
        <f t="shared" si="2"/>
        <v>353.91</v>
      </c>
      <c r="J54" s="206">
        <v>279.97000000000003</v>
      </c>
      <c r="L54" s="206">
        <v>275.31</v>
      </c>
      <c r="N54" s="236"/>
    </row>
    <row r="55" spans="1:14" s="187" customFormat="1" ht="27.6" x14ac:dyDescent="0.3">
      <c r="A55" s="240" t="s">
        <v>360</v>
      </c>
      <c r="B55" s="233">
        <v>92873</v>
      </c>
      <c r="C55" s="245" t="s">
        <v>359</v>
      </c>
      <c r="D55" s="247" t="s">
        <v>19</v>
      </c>
      <c r="E55" s="236">
        <f>'Memória de Calculo'!D54</f>
        <v>1.4580000000000002</v>
      </c>
      <c r="F55" s="218">
        <f t="shared" si="13"/>
        <v>166.53</v>
      </c>
      <c r="G55" s="218">
        <f t="shared" ref="G55" si="16">TRUNC(F55*E55,2)</f>
        <v>242.8</v>
      </c>
      <c r="H55" s="219">
        <f t="shared" si="15"/>
        <v>1.8865539287524415E-3</v>
      </c>
      <c r="I55" s="205">
        <f t="shared" si="2"/>
        <v>166.53</v>
      </c>
      <c r="J55" s="206">
        <v>131.74</v>
      </c>
      <c r="L55" s="206">
        <v>131.99</v>
      </c>
      <c r="N55" s="236"/>
    </row>
    <row r="56" spans="1:14" s="187" customFormat="1" x14ac:dyDescent="0.3">
      <c r="A56" s="259" t="s">
        <v>277</v>
      </c>
      <c r="B56" s="233"/>
      <c r="C56" s="234" t="s">
        <v>199</v>
      </c>
      <c r="D56" s="247"/>
      <c r="E56" s="236">
        <f>'Memória de Calculo'!D55</f>
        <v>0</v>
      </c>
      <c r="F56" s="218">
        <f t="shared" si="13"/>
        <v>0</v>
      </c>
      <c r="G56" s="218"/>
      <c r="H56" s="219"/>
      <c r="I56" s="205">
        <f t="shared" si="2"/>
        <v>0</v>
      </c>
      <c r="J56" s="206"/>
      <c r="L56" s="206"/>
      <c r="N56" s="236"/>
    </row>
    <row r="57" spans="1:14" s="187" customFormat="1" ht="27.6" x14ac:dyDescent="0.3">
      <c r="A57" s="240" t="s">
        <v>278</v>
      </c>
      <c r="B57" s="233">
        <v>92269</v>
      </c>
      <c r="C57" s="245" t="s">
        <v>200</v>
      </c>
      <c r="D57" s="247" t="s">
        <v>18</v>
      </c>
      <c r="E57" s="236">
        <f>'Memória de Calculo'!D56</f>
        <v>61.65</v>
      </c>
      <c r="F57" s="218">
        <f t="shared" si="13"/>
        <v>70.650000000000006</v>
      </c>
      <c r="G57" s="218">
        <f t="shared" si="14"/>
        <v>4355.57</v>
      </c>
      <c r="H57" s="219">
        <f>G57/$G$158</f>
        <v>3.3842741744053835E-2</v>
      </c>
      <c r="I57" s="205">
        <f t="shared" si="2"/>
        <v>70.650000000000006</v>
      </c>
      <c r="J57" s="206">
        <v>55.89</v>
      </c>
      <c r="L57" s="206">
        <v>55.63</v>
      </c>
      <c r="N57" s="236"/>
    </row>
    <row r="58" spans="1:14" s="187" customFormat="1" ht="41.4" x14ac:dyDescent="0.3">
      <c r="A58" s="240" t="s">
        <v>279</v>
      </c>
      <c r="B58" s="233">
        <v>92775</v>
      </c>
      <c r="C58" s="245" t="s">
        <v>201</v>
      </c>
      <c r="D58" s="247" t="s">
        <v>132</v>
      </c>
      <c r="E58" s="236">
        <f>'Memória de Calculo'!D57</f>
        <v>11.92</v>
      </c>
      <c r="F58" s="218">
        <f t="shared" si="13"/>
        <v>13.33</v>
      </c>
      <c r="G58" s="218">
        <f t="shared" si="14"/>
        <v>158.88999999999999</v>
      </c>
      <c r="H58" s="219">
        <f>G58/$G$158</f>
        <v>1.2345739445612659E-3</v>
      </c>
      <c r="I58" s="205">
        <f t="shared" si="2"/>
        <v>13.33</v>
      </c>
      <c r="J58" s="206">
        <v>10.55</v>
      </c>
      <c r="L58" s="206">
        <v>10.88</v>
      </c>
      <c r="N58" s="236"/>
    </row>
    <row r="59" spans="1:14" s="187" customFormat="1" ht="27.6" x14ac:dyDescent="0.3">
      <c r="A59" s="240" t="s">
        <v>280</v>
      </c>
      <c r="B59" s="233">
        <v>92917</v>
      </c>
      <c r="C59" s="245" t="s">
        <v>414</v>
      </c>
      <c r="D59" s="247" t="s">
        <v>132</v>
      </c>
      <c r="E59" s="236">
        <f>'Memória de Calculo'!D58</f>
        <v>133.66</v>
      </c>
      <c r="F59" s="218">
        <f t="shared" si="13"/>
        <v>10.51</v>
      </c>
      <c r="G59" s="218">
        <f t="shared" si="14"/>
        <v>1404.76</v>
      </c>
      <c r="H59" s="219">
        <f>G59/$G$158</f>
        <v>1.0914973216450904E-2</v>
      </c>
      <c r="I59" s="205">
        <f t="shared" si="2"/>
        <v>10.51</v>
      </c>
      <c r="J59" s="206">
        <v>8.32</v>
      </c>
      <c r="L59" s="206">
        <v>8.84</v>
      </c>
      <c r="N59" s="236"/>
    </row>
    <row r="60" spans="1:14" s="187" customFormat="1" x14ac:dyDescent="0.3">
      <c r="A60" s="240" t="s">
        <v>281</v>
      </c>
      <c r="B60" s="233">
        <v>94964</v>
      </c>
      <c r="C60" s="245" t="s">
        <v>198</v>
      </c>
      <c r="D60" s="247" t="s">
        <v>19</v>
      </c>
      <c r="E60" s="236">
        <f>'Memória de Calculo'!D59</f>
        <v>3.27</v>
      </c>
      <c r="F60" s="218">
        <f t="shared" si="13"/>
        <v>353.91</v>
      </c>
      <c r="G60" s="218">
        <f t="shared" si="14"/>
        <v>1157.28</v>
      </c>
      <c r="H60" s="219">
        <f>G60/$G$158</f>
        <v>8.9920557276220153E-3</v>
      </c>
      <c r="I60" s="205">
        <f t="shared" si="2"/>
        <v>353.91</v>
      </c>
      <c r="J60" s="206">
        <v>279.97000000000003</v>
      </c>
      <c r="L60" s="206">
        <v>275.31</v>
      </c>
      <c r="N60" s="236"/>
    </row>
    <row r="61" spans="1:14" s="187" customFormat="1" ht="27.6" x14ac:dyDescent="0.3">
      <c r="A61" s="240" t="s">
        <v>417</v>
      </c>
      <c r="B61" s="233">
        <v>92873</v>
      </c>
      <c r="C61" s="245" t="s">
        <v>359</v>
      </c>
      <c r="D61" s="247" t="s">
        <v>19</v>
      </c>
      <c r="E61" s="236">
        <f>'Memória de Calculo'!D60</f>
        <v>3.27</v>
      </c>
      <c r="F61" s="218">
        <f t="shared" si="13"/>
        <v>166.53</v>
      </c>
      <c r="G61" s="218">
        <f t="shared" si="14"/>
        <v>544.54999999999995</v>
      </c>
      <c r="H61" s="219">
        <f>G61/$G$158</f>
        <v>4.2311488546216717E-3</v>
      </c>
      <c r="I61" s="205">
        <f t="shared" si="2"/>
        <v>166.53</v>
      </c>
      <c r="J61" s="206">
        <v>131.74</v>
      </c>
      <c r="L61" s="206">
        <v>131.99</v>
      </c>
      <c r="N61" s="236"/>
    </row>
    <row r="62" spans="1:14" s="187" customFormat="1" x14ac:dyDescent="0.3">
      <c r="A62" s="259" t="s">
        <v>282</v>
      </c>
      <c r="B62" s="233"/>
      <c r="C62" s="234" t="s">
        <v>133</v>
      </c>
      <c r="D62" s="247"/>
      <c r="E62" s="236">
        <f>'Memória de Calculo'!D61</f>
        <v>0</v>
      </c>
      <c r="F62" s="218">
        <f t="shared" si="13"/>
        <v>0</v>
      </c>
      <c r="G62" s="218"/>
      <c r="H62" s="219"/>
      <c r="I62" s="205">
        <f t="shared" si="2"/>
        <v>0</v>
      </c>
      <c r="J62" s="206"/>
      <c r="L62" s="206"/>
      <c r="N62" s="236"/>
    </row>
    <row r="63" spans="1:14" s="187" customFormat="1" ht="41.4" x14ac:dyDescent="0.3">
      <c r="A63" s="240" t="s">
        <v>283</v>
      </c>
      <c r="B63" s="233">
        <v>87495</v>
      </c>
      <c r="C63" s="245" t="s">
        <v>203</v>
      </c>
      <c r="D63" s="247" t="s">
        <v>18</v>
      </c>
      <c r="E63" s="236">
        <f>'Memória de Calculo'!D62</f>
        <v>136.08000000000001</v>
      </c>
      <c r="F63" s="218">
        <f t="shared" si="13"/>
        <v>75.010000000000005</v>
      </c>
      <c r="G63" s="218">
        <f t="shared" si="14"/>
        <v>10207.36</v>
      </c>
      <c r="H63" s="219">
        <f>G63/$G$158</f>
        <v>7.931110012434317E-2</v>
      </c>
      <c r="I63" s="205">
        <f t="shared" si="2"/>
        <v>75.010000000000005</v>
      </c>
      <c r="J63" s="206">
        <v>59.34</v>
      </c>
      <c r="L63" s="206">
        <v>59.07</v>
      </c>
      <c r="N63" s="236"/>
    </row>
    <row r="64" spans="1:14" s="187" customFormat="1" x14ac:dyDescent="0.3">
      <c r="A64" s="240" t="s">
        <v>284</v>
      </c>
      <c r="B64" s="233">
        <v>93182</v>
      </c>
      <c r="C64" s="245" t="s">
        <v>361</v>
      </c>
      <c r="D64" s="247" t="s">
        <v>20</v>
      </c>
      <c r="E64" s="236">
        <f>'Memória de Calculo'!D63</f>
        <v>3.3200000000000003</v>
      </c>
      <c r="F64" s="218">
        <f t="shared" si="13"/>
        <v>25.24</v>
      </c>
      <c r="G64" s="218">
        <f t="shared" si="14"/>
        <v>83.79</v>
      </c>
      <c r="H64" s="219">
        <f>G64/$G$158</f>
        <v>6.5104758521485615E-4</v>
      </c>
      <c r="I64" s="205">
        <f t="shared" si="2"/>
        <v>25.24</v>
      </c>
      <c r="J64" s="206">
        <v>19.97</v>
      </c>
      <c r="L64" s="206">
        <v>20.02</v>
      </c>
      <c r="N64" s="236"/>
    </row>
    <row r="65" spans="1:14" s="187" customFormat="1" x14ac:dyDescent="0.3">
      <c r="A65" s="240" t="s">
        <v>362</v>
      </c>
      <c r="B65" s="233">
        <v>93184</v>
      </c>
      <c r="C65" s="245" t="s">
        <v>363</v>
      </c>
      <c r="D65" s="247" t="s">
        <v>20</v>
      </c>
      <c r="E65" s="236">
        <f>'Memória de Calculo'!D64</f>
        <v>4.9000000000000004</v>
      </c>
      <c r="F65" s="218">
        <f t="shared" si="13"/>
        <v>19.54</v>
      </c>
      <c r="G65" s="218">
        <f t="shared" si="14"/>
        <v>95.74</v>
      </c>
      <c r="H65" s="219">
        <f>G65/$G$158</f>
        <v>7.4389898327330609E-4</v>
      </c>
      <c r="I65" s="205">
        <f t="shared" si="2"/>
        <v>19.54</v>
      </c>
      <c r="J65" s="206">
        <v>15.46</v>
      </c>
      <c r="L65" s="206">
        <v>15.48</v>
      </c>
      <c r="N65" s="236"/>
    </row>
    <row r="66" spans="1:14" s="187" customFormat="1" x14ac:dyDescent="0.3">
      <c r="A66" s="259" t="s">
        <v>285</v>
      </c>
      <c r="B66" s="233"/>
      <c r="C66" s="234" t="s">
        <v>134</v>
      </c>
      <c r="D66" s="247"/>
      <c r="E66" s="236">
        <f>'Memória de Calculo'!D65</f>
        <v>0</v>
      </c>
      <c r="F66" s="218">
        <f t="shared" si="13"/>
        <v>0</v>
      </c>
      <c r="G66" s="218"/>
      <c r="H66" s="219"/>
      <c r="I66" s="205">
        <f t="shared" si="2"/>
        <v>0</v>
      </c>
      <c r="J66" s="206"/>
      <c r="L66" s="206"/>
      <c r="N66" s="236"/>
    </row>
    <row r="67" spans="1:14" s="187" customFormat="1" x14ac:dyDescent="0.3">
      <c r="A67" s="240" t="s">
        <v>286</v>
      </c>
      <c r="B67" s="233" t="s">
        <v>145</v>
      </c>
      <c r="C67" s="245" t="s">
        <v>204</v>
      </c>
      <c r="D67" s="247" t="s">
        <v>18</v>
      </c>
      <c r="E67" s="236">
        <f>'Memória de Calculo'!D66</f>
        <v>21.87</v>
      </c>
      <c r="F67" s="218">
        <f t="shared" si="13"/>
        <v>10.130000000000001</v>
      </c>
      <c r="G67" s="218">
        <f t="shared" si="14"/>
        <v>221.54</v>
      </c>
      <c r="H67" s="219">
        <f>G67/$G$158</f>
        <v>1.7213639101145628E-3</v>
      </c>
      <c r="I67" s="205">
        <f t="shared" si="2"/>
        <v>10.130000000000001</v>
      </c>
      <c r="J67" s="206">
        <v>8.02</v>
      </c>
      <c r="L67" s="206">
        <v>7.86</v>
      </c>
      <c r="N67" s="236"/>
    </row>
    <row r="68" spans="1:14" s="187" customFormat="1" x14ac:dyDescent="0.3">
      <c r="A68" s="259" t="s">
        <v>287</v>
      </c>
      <c r="B68" s="233"/>
      <c r="C68" s="234" t="s">
        <v>39</v>
      </c>
      <c r="D68" s="247"/>
      <c r="E68" s="236">
        <f>'Memória de Calculo'!D67</f>
        <v>0</v>
      </c>
      <c r="F68" s="218">
        <f t="shared" si="13"/>
        <v>0</v>
      </c>
      <c r="G68" s="218"/>
      <c r="H68" s="219"/>
      <c r="I68" s="205">
        <f t="shared" si="2"/>
        <v>0</v>
      </c>
      <c r="J68" s="206"/>
      <c r="L68" s="206"/>
      <c r="N68" s="236"/>
    </row>
    <row r="69" spans="1:14" s="187" customFormat="1" x14ac:dyDescent="0.3">
      <c r="A69" s="240" t="s">
        <v>288</v>
      </c>
      <c r="B69" s="233">
        <v>94559</v>
      </c>
      <c r="C69" s="245" t="s">
        <v>205</v>
      </c>
      <c r="D69" s="247" t="s">
        <v>18</v>
      </c>
      <c r="E69" s="236">
        <f>'Memória de Calculo'!D68</f>
        <v>0.48</v>
      </c>
      <c r="F69" s="218">
        <f t="shared" si="13"/>
        <v>557.63</v>
      </c>
      <c r="G69" s="218">
        <f t="shared" si="14"/>
        <v>267.66000000000003</v>
      </c>
      <c r="H69" s="219">
        <f>G69/$G$158</f>
        <v>2.079715916679895E-3</v>
      </c>
      <c r="I69" s="205">
        <f t="shared" si="2"/>
        <v>557.63</v>
      </c>
      <c r="J69" s="206">
        <v>441.13</v>
      </c>
      <c r="L69" s="206">
        <v>441.13</v>
      </c>
      <c r="N69" s="236"/>
    </row>
    <row r="70" spans="1:14" s="187" customFormat="1" ht="27.6" x14ac:dyDescent="0.3">
      <c r="A70" s="240" t="s">
        <v>289</v>
      </c>
      <c r="B70" s="233">
        <v>94562</v>
      </c>
      <c r="C70" s="245" t="s">
        <v>365</v>
      </c>
      <c r="D70" s="247" t="s">
        <v>18</v>
      </c>
      <c r="E70" s="236">
        <f>'Memória de Calculo'!D69</f>
        <v>1.2</v>
      </c>
      <c r="F70" s="218">
        <f t="shared" si="13"/>
        <v>524.75</v>
      </c>
      <c r="G70" s="218">
        <f t="shared" ref="G70" si="17">TRUNC(F70*E70,2)</f>
        <v>629.70000000000005</v>
      </c>
      <c r="H70" s="219">
        <f>G70/$G$158</f>
        <v>4.8927636282348119E-3</v>
      </c>
      <c r="I70" s="205">
        <f t="shared" si="2"/>
        <v>524.75</v>
      </c>
      <c r="J70" s="206">
        <v>415.12</v>
      </c>
      <c r="L70" s="206">
        <v>415.13</v>
      </c>
      <c r="N70" s="236"/>
    </row>
    <row r="71" spans="1:14" s="187" customFormat="1" x14ac:dyDescent="0.3">
      <c r="A71" s="240" t="s">
        <v>290</v>
      </c>
      <c r="B71" s="233" t="s">
        <v>153</v>
      </c>
      <c r="C71" s="245" t="s">
        <v>206</v>
      </c>
      <c r="D71" s="247" t="s">
        <v>18</v>
      </c>
      <c r="E71" s="236">
        <f>'Memória de Calculo'!D70</f>
        <v>6.9300000000000015</v>
      </c>
      <c r="F71" s="218">
        <f t="shared" si="13"/>
        <v>462.95</v>
      </c>
      <c r="G71" s="218">
        <f t="shared" si="14"/>
        <v>3208.24</v>
      </c>
      <c r="H71" s="219">
        <f>G71/$G$158</f>
        <v>2.4927997431551614E-2</v>
      </c>
      <c r="I71" s="205">
        <f t="shared" si="2"/>
        <v>462.95</v>
      </c>
      <c r="J71" s="206">
        <v>366.23</v>
      </c>
      <c r="L71" s="206">
        <v>354.33</v>
      </c>
      <c r="N71" s="236"/>
    </row>
    <row r="72" spans="1:14" s="187" customFormat="1" ht="27.6" x14ac:dyDescent="0.3">
      <c r="A72" s="240" t="s">
        <v>291</v>
      </c>
      <c r="B72" s="233">
        <v>90830</v>
      </c>
      <c r="C72" s="245" t="s">
        <v>207</v>
      </c>
      <c r="D72" s="247" t="s">
        <v>366</v>
      </c>
      <c r="E72" s="236">
        <f>'Memória de Calculo'!D71</f>
        <v>4</v>
      </c>
      <c r="F72" s="218">
        <f t="shared" si="13"/>
        <v>102.74</v>
      </c>
      <c r="G72" s="218">
        <f t="shared" si="14"/>
        <v>410.96</v>
      </c>
      <c r="H72" s="219">
        <f>G72/$G$158</f>
        <v>3.1931556942343627E-3</v>
      </c>
      <c r="I72" s="205">
        <f t="shared" si="2"/>
        <v>102.74</v>
      </c>
      <c r="J72" s="206">
        <v>81.28</v>
      </c>
      <c r="L72" s="206">
        <v>78.66</v>
      </c>
      <c r="N72" s="236"/>
    </row>
    <row r="73" spans="1:14" s="187" customFormat="1" x14ac:dyDescent="0.3">
      <c r="A73" s="240" t="s">
        <v>364</v>
      </c>
      <c r="B73" s="233" t="s">
        <v>367</v>
      </c>
      <c r="C73" s="245" t="s">
        <v>40</v>
      </c>
      <c r="D73" s="247" t="str">
        <f>D72</f>
        <v xml:space="preserve">UN </v>
      </c>
      <c r="E73" s="236">
        <f>'Memória de Calculo'!D72</f>
        <v>12</v>
      </c>
      <c r="F73" s="218">
        <f t="shared" si="13"/>
        <v>37.99</v>
      </c>
      <c r="G73" s="218">
        <f t="shared" si="14"/>
        <v>455.88</v>
      </c>
      <c r="H73" s="219">
        <f>G73/$G$158</f>
        <v>3.5421837110365031E-3</v>
      </c>
      <c r="I73" s="205">
        <f t="shared" si="2"/>
        <v>37.99</v>
      </c>
      <c r="J73" s="206">
        <v>30.06</v>
      </c>
      <c r="L73" s="206">
        <v>33.08</v>
      </c>
      <c r="N73" s="236"/>
    </row>
    <row r="74" spans="1:14" s="187" customFormat="1" x14ac:dyDescent="0.3">
      <c r="A74" s="259" t="s">
        <v>292</v>
      </c>
      <c r="B74" s="233"/>
      <c r="C74" s="234" t="s">
        <v>41</v>
      </c>
      <c r="D74" s="247"/>
      <c r="E74" s="236">
        <f>'Memória de Calculo'!D73</f>
        <v>0</v>
      </c>
      <c r="F74" s="218">
        <f t="shared" si="13"/>
        <v>0</v>
      </c>
      <c r="G74" s="218"/>
      <c r="H74" s="219"/>
      <c r="I74" s="205">
        <f t="shared" si="2"/>
        <v>0</v>
      </c>
      <c r="J74" s="206"/>
      <c r="L74" s="206"/>
      <c r="N74" s="236"/>
    </row>
    <row r="75" spans="1:14" s="187" customFormat="1" ht="27.6" x14ac:dyDescent="0.3">
      <c r="A75" s="240" t="s">
        <v>293</v>
      </c>
      <c r="B75" s="233">
        <v>89356</v>
      </c>
      <c r="C75" s="245" t="s">
        <v>208</v>
      </c>
      <c r="D75" s="247" t="s">
        <v>20</v>
      </c>
      <c r="E75" s="236">
        <f>'Memória de Calculo'!D74</f>
        <v>36</v>
      </c>
      <c r="F75" s="218">
        <f t="shared" si="13"/>
        <v>17.89</v>
      </c>
      <c r="G75" s="218">
        <f t="shared" si="14"/>
        <v>644.04</v>
      </c>
      <c r="H75" s="219">
        <f t="shared" ref="H75:H97" si="18">G75/$G$158</f>
        <v>5.0041853059049519E-3</v>
      </c>
      <c r="I75" s="205">
        <f t="shared" si="2"/>
        <v>17.89</v>
      </c>
      <c r="J75" s="206">
        <v>14.16</v>
      </c>
      <c r="L75" s="206">
        <v>14.66</v>
      </c>
      <c r="N75" s="236"/>
    </row>
    <row r="76" spans="1:14" s="187" customFormat="1" ht="27.6" x14ac:dyDescent="0.3">
      <c r="A76" s="240" t="s">
        <v>294</v>
      </c>
      <c r="B76" s="233">
        <v>89450</v>
      </c>
      <c r="C76" s="245" t="s">
        <v>209</v>
      </c>
      <c r="D76" s="247" t="s">
        <v>20</v>
      </c>
      <c r="E76" s="236">
        <f>'Memória de Calculo'!D75</f>
        <v>6</v>
      </c>
      <c r="F76" s="218">
        <f t="shared" si="13"/>
        <v>23.46</v>
      </c>
      <c r="G76" s="218">
        <f t="shared" si="14"/>
        <v>140.76</v>
      </c>
      <c r="H76" s="219">
        <f t="shared" si="18"/>
        <v>1.093703999222379E-3</v>
      </c>
      <c r="I76" s="205">
        <f t="shared" ref="I76:I139" si="19">TRUNC(J76*1.2641,2)</f>
        <v>23.46</v>
      </c>
      <c r="J76" s="206">
        <v>18.559999999999999</v>
      </c>
      <c r="L76" s="206">
        <v>21.46</v>
      </c>
      <c r="N76" s="236"/>
    </row>
    <row r="77" spans="1:14" s="187" customFormat="1" ht="27.6" x14ac:dyDescent="0.3">
      <c r="A77" s="240" t="s">
        <v>295</v>
      </c>
      <c r="B77" s="233">
        <v>89449</v>
      </c>
      <c r="C77" s="245" t="s">
        <v>210</v>
      </c>
      <c r="D77" s="247" t="s">
        <v>20</v>
      </c>
      <c r="E77" s="236">
        <f>'Memória de Calculo'!D76</f>
        <v>18</v>
      </c>
      <c r="F77" s="218">
        <f t="shared" si="13"/>
        <v>15.33</v>
      </c>
      <c r="G77" s="218">
        <f t="shared" si="14"/>
        <v>275.94</v>
      </c>
      <c r="H77" s="219">
        <f t="shared" si="18"/>
        <v>2.1440514460459169E-3</v>
      </c>
      <c r="I77" s="205">
        <f t="shared" si="19"/>
        <v>15.33</v>
      </c>
      <c r="J77" s="206">
        <v>12.13</v>
      </c>
      <c r="L77" s="206">
        <v>13.99</v>
      </c>
      <c r="N77" s="236"/>
    </row>
    <row r="78" spans="1:14" s="187" customFormat="1" x14ac:dyDescent="0.3">
      <c r="A78" s="240" t="s">
        <v>296</v>
      </c>
      <c r="B78" s="233">
        <v>3871</v>
      </c>
      <c r="C78" s="245" t="s">
        <v>211</v>
      </c>
      <c r="D78" s="247" t="str">
        <f>D73</f>
        <v xml:space="preserve">UN </v>
      </c>
      <c r="E78" s="236">
        <f>'Memória de Calculo'!D77</f>
        <v>2</v>
      </c>
      <c r="F78" s="218">
        <f t="shared" si="13"/>
        <v>13.74</v>
      </c>
      <c r="G78" s="218">
        <f t="shared" si="14"/>
        <v>27.48</v>
      </c>
      <c r="H78" s="219">
        <f t="shared" si="18"/>
        <v>2.135193655770885E-4</v>
      </c>
      <c r="I78" s="205">
        <f t="shared" si="19"/>
        <v>13.74</v>
      </c>
      <c r="J78" s="206">
        <v>10.87</v>
      </c>
      <c r="L78" s="206">
        <v>11.57</v>
      </c>
      <c r="N78" s="236"/>
    </row>
    <row r="79" spans="1:14" s="187" customFormat="1" x14ac:dyDescent="0.3">
      <c r="A79" s="240" t="s">
        <v>297</v>
      </c>
      <c r="B79" s="233">
        <v>3906</v>
      </c>
      <c r="C79" s="245" t="s">
        <v>212</v>
      </c>
      <c r="D79" s="247" t="str">
        <f>D78</f>
        <v xml:space="preserve">UN </v>
      </c>
      <c r="E79" s="236">
        <f>'Memória de Calculo'!D78</f>
        <v>3</v>
      </c>
      <c r="F79" s="218">
        <f t="shared" si="13"/>
        <v>1.1299999999999999</v>
      </c>
      <c r="G79" s="218">
        <f t="shared" si="14"/>
        <v>3.39</v>
      </c>
      <c r="H79" s="219">
        <f t="shared" si="18"/>
        <v>2.6340271081016377E-5</v>
      </c>
      <c r="I79" s="205">
        <f t="shared" si="19"/>
        <v>1.1299999999999999</v>
      </c>
      <c r="J79" s="206">
        <v>0.9</v>
      </c>
      <c r="L79" s="206">
        <v>0.96</v>
      </c>
      <c r="N79" s="236"/>
    </row>
    <row r="80" spans="1:14" s="187" customFormat="1" ht="27.6" x14ac:dyDescent="0.3">
      <c r="A80" s="240" t="s">
        <v>298</v>
      </c>
      <c r="B80" s="233">
        <v>89985</v>
      </c>
      <c r="C80" s="245" t="s">
        <v>213</v>
      </c>
      <c r="D80" s="247" t="str">
        <f t="shared" ref="D80:D87" si="20">D79</f>
        <v xml:space="preserve">UN </v>
      </c>
      <c r="E80" s="236">
        <f>'Memória de Calculo'!D79</f>
        <v>1</v>
      </c>
      <c r="F80" s="218">
        <f t="shared" si="13"/>
        <v>80.680000000000007</v>
      </c>
      <c r="G80" s="218">
        <f t="shared" si="14"/>
        <v>80.680000000000007</v>
      </c>
      <c r="H80" s="219">
        <f t="shared" si="18"/>
        <v>6.2688291174525118E-4</v>
      </c>
      <c r="I80" s="205">
        <f t="shared" si="19"/>
        <v>80.680000000000007</v>
      </c>
      <c r="J80" s="206">
        <v>63.83</v>
      </c>
      <c r="L80" s="206">
        <v>63.85</v>
      </c>
      <c r="N80" s="236"/>
    </row>
    <row r="81" spans="1:14" s="187" customFormat="1" ht="27.6" x14ac:dyDescent="0.3">
      <c r="A81" s="240" t="s">
        <v>299</v>
      </c>
      <c r="B81" s="233">
        <v>89987</v>
      </c>
      <c r="C81" s="245" t="s">
        <v>214</v>
      </c>
      <c r="D81" s="247" t="str">
        <f t="shared" si="20"/>
        <v xml:space="preserve">UN </v>
      </c>
      <c r="E81" s="236">
        <f>'Memória de Calculo'!D80</f>
        <v>2</v>
      </c>
      <c r="F81" s="218">
        <f t="shared" si="13"/>
        <v>84.93</v>
      </c>
      <c r="G81" s="218">
        <f t="shared" si="14"/>
        <v>169.86</v>
      </c>
      <c r="H81" s="219">
        <f t="shared" si="18"/>
        <v>1.3198107509797764E-3</v>
      </c>
      <c r="I81" s="205">
        <f t="shared" si="19"/>
        <v>84.93</v>
      </c>
      <c r="J81" s="206">
        <v>67.19</v>
      </c>
      <c r="L81" s="206">
        <v>67.209999999999994</v>
      </c>
      <c r="N81" s="236"/>
    </row>
    <row r="82" spans="1:14" s="187" customFormat="1" ht="41.4" x14ac:dyDescent="0.3">
      <c r="A82" s="240" t="s">
        <v>300</v>
      </c>
      <c r="B82" s="233">
        <v>94497</v>
      </c>
      <c r="C82" s="245" t="s">
        <v>215</v>
      </c>
      <c r="D82" s="247" t="str">
        <f t="shared" si="20"/>
        <v xml:space="preserve">UN </v>
      </c>
      <c r="E82" s="236">
        <f>'Memória de Calculo'!D81</f>
        <v>3</v>
      </c>
      <c r="F82" s="218">
        <f t="shared" si="13"/>
        <v>113.22</v>
      </c>
      <c r="G82" s="218">
        <f t="shared" si="14"/>
        <v>339.66</v>
      </c>
      <c r="H82" s="219">
        <f t="shared" si="18"/>
        <v>2.6391553024713932E-3</v>
      </c>
      <c r="I82" s="205">
        <f t="shared" si="19"/>
        <v>113.22</v>
      </c>
      <c r="J82" s="206">
        <v>89.57</v>
      </c>
      <c r="L82" s="206">
        <v>89.61</v>
      </c>
      <c r="N82" s="236"/>
    </row>
    <row r="83" spans="1:14" s="187" customFormat="1" ht="27.6" x14ac:dyDescent="0.3">
      <c r="A83" s="240" t="s">
        <v>301</v>
      </c>
      <c r="B83" s="233">
        <v>7135</v>
      </c>
      <c r="C83" s="245" t="s">
        <v>216</v>
      </c>
      <c r="D83" s="247" t="str">
        <f>D82</f>
        <v xml:space="preserve">UN </v>
      </c>
      <c r="E83" s="236">
        <f>'Memória de Calculo'!D82</f>
        <v>2</v>
      </c>
      <c r="F83" s="218">
        <f t="shared" si="13"/>
        <v>3.02</v>
      </c>
      <c r="G83" s="218">
        <f t="shared" si="14"/>
        <v>6.04</v>
      </c>
      <c r="H83" s="219">
        <f t="shared" si="18"/>
        <v>4.6930748474731242E-5</v>
      </c>
      <c r="I83" s="205">
        <f t="shared" si="19"/>
        <v>3.02</v>
      </c>
      <c r="J83" s="206">
        <v>2.39</v>
      </c>
      <c r="L83" s="206">
        <v>2.44</v>
      </c>
      <c r="N83" s="236"/>
    </row>
    <row r="84" spans="1:14" s="187" customFormat="1" x14ac:dyDescent="0.3">
      <c r="A84" s="240" t="s">
        <v>302</v>
      </c>
      <c r="B84" s="233">
        <v>3531</v>
      </c>
      <c r="C84" s="245" t="s">
        <v>217</v>
      </c>
      <c r="D84" s="247" t="str">
        <f t="shared" si="20"/>
        <v xml:space="preserve">UN </v>
      </c>
      <c r="E84" s="236">
        <f>'Memória de Calculo'!D83</f>
        <v>1</v>
      </c>
      <c r="F84" s="218">
        <f t="shared" si="13"/>
        <v>1.46</v>
      </c>
      <c r="G84" s="218">
        <f t="shared" si="14"/>
        <v>1.46</v>
      </c>
      <c r="H84" s="219">
        <f t="shared" si="18"/>
        <v>1.1344187545216492E-5</v>
      </c>
      <c r="I84" s="205">
        <f t="shared" si="19"/>
        <v>1.46</v>
      </c>
      <c r="J84" s="206">
        <v>1.1599999999999999</v>
      </c>
      <c r="L84" s="206">
        <v>1.18</v>
      </c>
      <c r="N84" s="236"/>
    </row>
    <row r="85" spans="1:14" s="187" customFormat="1" ht="27.6" x14ac:dyDescent="0.3">
      <c r="A85" s="240" t="s">
        <v>303</v>
      </c>
      <c r="B85" s="233">
        <v>86906</v>
      </c>
      <c r="C85" s="245" t="s">
        <v>218</v>
      </c>
      <c r="D85" s="247" t="str">
        <f t="shared" si="20"/>
        <v xml:space="preserve">UN </v>
      </c>
      <c r="E85" s="236">
        <f>'Memória de Calculo'!D84</f>
        <v>1</v>
      </c>
      <c r="F85" s="218">
        <f t="shared" si="13"/>
        <v>48.92</v>
      </c>
      <c r="G85" s="218">
        <f t="shared" si="14"/>
        <v>48.92</v>
      </c>
      <c r="H85" s="219">
        <f t="shared" si="18"/>
        <v>3.8010798267944576E-4</v>
      </c>
      <c r="I85" s="205">
        <f t="shared" si="19"/>
        <v>48.92</v>
      </c>
      <c r="J85" s="206">
        <v>38.700000000000003</v>
      </c>
      <c r="L85" s="206">
        <v>34.520000000000003</v>
      </c>
      <c r="N85" s="236"/>
    </row>
    <row r="86" spans="1:14" s="187" customFormat="1" ht="27.6" x14ac:dyDescent="0.3">
      <c r="A86" s="240" t="s">
        <v>304</v>
      </c>
      <c r="B86" s="233">
        <v>86911</v>
      </c>
      <c r="C86" s="245" t="s">
        <v>219</v>
      </c>
      <c r="D86" s="247" t="str">
        <f t="shared" si="20"/>
        <v xml:space="preserve">UN </v>
      </c>
      <c r="E86" s="236">
        <f>'Memória de Calculo'!D85</f>
        <v>1</v>
      </c>
      <c r="F86" s="218">
        <f t="shared" si="13"/>
        <v>41.55</v>
      </c>
      <c r="G86" s="218">
        <f t="shared" si="14"/>
        <v>41.55</v>
      </c>
      <c r="H86" s="219">
        <f t="shared" si="18"/>
        <v>3.228431455505104E-4</v>
      </c>
      <c r="I86" s="205">
        <f t="shared" si="19"/>
        <v>41.55</v>
      </c>
      <c r="J86" s="206">
        <v>32.869999999999997</v>
      </c>
      <c r="L86" s="206">
        <v>29.41</v>
      </c>
      <c r="N86" s="236"/>
    </row>
    <row r="87" spans="1:14" s="187" customFormat="1" ht="27.6" x14ac:dyDescent="0.3">
      <c r="A87" s="240" t="s">
        <v>305</v>
      </c>
      <c r="B87" s="233">
        <v>86913</v>
      </c>
      <c r="C87" s="245" t="s">
        <v>220</v>
      </c>
      <c r="D87" s="247" t="str">
        <f t="shared" si="20"/>
        <v xml:space="preserve">UN </v>
      </c>
      <c r="E87" s="236">
        <f>'Memória de Calculo'!D86</f>
        <v>1</v>
      </c>
      <c r="F87" s="218">
        <f t="shared" si="13"/>
        <v>18.68</v>
      </c>
      <c r="G87" s="218">
        <f t="shared" si="14"/>
        <v>18.68</v>
      </c>
      <c r="H87" s="219">
        <f t="shared" si="18"/>
        <v>1.4514344064701649E-4</v>
      </c>
      <c r="I87" s="205">
        <f t="shared" si="19"/>
        <v>18.68</v>
      </c>
      <c r="J87" s="206">
        <v>14.78</v>
      </c>
      <c r="L87" s="206">
        <v>13.46</v>
      </c>
      <c r="N87" s="236"/>
    </row>
    <row r="88" spans="1:14" s="187" customFormat="1" ht="27.6" x14ac:dyDescent="0.3">
      <c r="A88" s="240" t="s">
        <v>306</v>
      </c>
      <c r="B88" s="233">
        <v>89711</v>
      </c>
      <c r="C88" s="245" t="s">
        <v>221</v>
      </c>
      <c r="D88" s="247" t="s">
        <v>20</v>
      </c>
      <c r="E88" s="236">
        <f>'Memória de Calculo'!D87</f>
        <v>6</v>
      </c>
      <c r="F88" s="218">
        <f t="shared" si="13"/>
        <v>15.73</v>
      </c>
      <c r="G88" s="218">
        <f t="shared" si="14"/>
        <v>94.38</v>
      </c>
      <c r="H88" s="219">
        <f t="shared" si="18"/>
        <v>7.3333179487502229E-4</v>
      </c>
      <c r="I88" s="205">
        <f t="shared" si="19"/>
        <v>15.73</v>
      </c>
      <c r="J88" s="206">
        <v>12.45</v>
      </c>
      <c r="L88" s="206">
        <v>12.18</v>
      </c>
      <c r="N88" s="236"/>
    </row>
    <row r="89" spans="1:14" s="187" customFormat="1" ht="27.6" x14ac:dyDescent="0.3">
      <c r="A89" s="240" t="s">
        <v>307</v>
      </c>
      <c r="B89" s="233">
        <v>89712</v>
      </c>
      <c r="C89" s="245" t="s">
        <v>222</v>
      </c>
      <c r="D89" s="247" t="s">
        <v>20</v>
      </c>
      <c r="E89" s="236">
        <f>'Memória de Calculo'!D88</f>
        <v>12</v>
      </c>
      <c r="F89" s="218">
        <f t="shared" si="13"/>
        <v>23.37</v>
      </c>
      <c r="G89" s="218">
        <f t="shared" si="14"/>
        <v>280.44</v>
      </c>
      <c r="H89" s="219">
        <f t="shared" si="18"/>
        <v>2.1790164076578855E-3</v>
      </c>
      <c r="I89" s="205">
        <f t="shared" si="19"/>
        <v>23.37</v>
      </c>
      <c r="J89" s="206">
        <v>18.489999999999998</v>
      </c>
      <c r="L89" s="206">
        <v>17.93</v>
      </c>
      <c r="N89" s="236"/>
    </row>
    <row r="90" spans="1:14" s="187" customFormat="1" ht="27.6" x14ac:dyDescent="0.3">
      <c r="A90" s="240" t="s">
        <v>308</v>
      </c>
      <c r="B90" s="233">
        <v>89714</v>
      </c>
      <c r="C90" s="245" t="s">
        <v>223</v>
      </c>
      <c r="D90" s="247" t="s">
        <v>20</v>
      </c>
      <c r="E90" s="236">
        <f>'Memória de Calculo'!D89</f>
        <v>24</v>
      </c>
      <c r="F90" s="218">
        <f t="shared" si="13"/>
        <v>45.02</v>
      </c>
      <c r="G90" s="218">
        <f t="shared" si="14"/>
        <v>1080.48</v>
      </c>
      <c r="H90" s="219">
        <f t="shared" si="18"/>
        <v>8.39532038277775E-3</v>
      </c>
      <c r="I90" s="205">
        <f t="shared" si="19"/>
        <v>45.02</v>
      </c>
      <c r="J90" s="206">
        <v>35.619999999999997</v>
      </c>
      <c r="L90" s="206">
        <v>34.65</v>
      </c>
      <c r="N90" s="236"/>
    </row>
    <row r="91" spans="1:14" s="187" customFormat="1" x14ac:dyDescent="0.3">
      <c r="A91" s="240" t="s">
        <v>309</v>
      </c>
      <c r="B91" s="233">
        <v>11713</v>
      </c>
      <c r="C91" s="245" t="s">
        <v>224</v>
      </c>
      <c r="D91" s="247" t="s">
        <v>366</v>
      </c>
      <c r="E91" s="236">
        <f>'Memória de Calculo'!D90</f>
        <v>3</v>
      </c>
      <c r="F91" s="218">
        <f t="shared" si="13"/>
        <v>28.83</v>
      </c>
      <c r="G91" s="218">
        <f t="shared" si="14"/>
        <v>86.49</v>
      </c>
      <c r="H91" s="219">
        <f t="shared" si="18"/>
        <v>6.7202656218203719E-4</v>
      </c>
      <c r="I91" s="205">
        <f t="shared" si="19"/>
        <v>28.83</v>
      </c>
      <c r="J91" s="206">
        <v>22.81</v>
      </c>
      <c r="L91" s="206">
        <v>22.19</v>
      </c>
      <c r="N91" s="236"/>
    </row>
    <row r="92" spans="1:14" s="187" customFormat="1" x14ac:dyDescent="0.3">
      <c r="A92" s="240" t="s">
        <v>310</v>
      </c>
      <c r="B92" s="233">
        <v>11745</v>
      </c>
      <c r="C92" s="245" t="s">
        <v>225</v>
      </c>
      <c r="D92" s="247" t="str">
        <f t="shared" ref="D92:D94" si="21">D88</f>
        <v>M</v>
      </c>
      <c r="E92" s="236">
        <f>'Memória de Calculo'!D91</f>
        <v>2</v>
      </c>
      <c r="F92" s="218">
        <f t="shared" si="13"/>
        <v>8.2899999999999991</v>
      </c>
      <c r="G92" s="218">
        <f t="shared" si="14"/>
        <v>16.579999999999998</v>
      </c>
      <c r="H92" s="219">
        <f t="shared" si="18"/>
        <v>1.2882645856143111E-4</v>
      </c>
      <c r="I92" s="205">
        <f t="shared" si="19"/>
        <v>8.2899999999999991</v>
      </c>
      <c r="J92" s="206">
        <v>6.56</v>
      </c>
      <c r="L92" s="206">
        <v>6.39</v>
      </c>
      <c r="N92" s="236"/>
    </row>
    <row r="93" spans="1:14" s="187" customFormat="1" ht="41.4" x14ac:dyDescent="0.3">
      <c r="A93" s="240" t="s">
        <v>311</v>
      </c>
      <c r="B93" s="233" t="s">
        <v>255</v>
      </c>
      <c r="C93" s="245" t="s">
        <v>226</v>
      </c>
      <c r="D93" s="247" t="str">
        <f t="shared" si="21"/>
        <v>M</v>
      </c>
      <c r="E93" s="236">
        <f>'Memória de Calculo'!D92</f>
        <v>2</v>
      </c>
      <c r="F93" s="218">
        <f t="shared" si="13"/>
        <v>162.80000000000001</v>
      </c>
      <c r="G93" s="218">
        <f t="shared" si="14"/>
        <v>325.60000000000002</v>
      </c>
      <c r="H93" s="219">
        <f t="shared" si="18"/>
        <v>2.5299092224126646E-3</v>
      </c>
      <c r="I93" s="205">
        <f t="shared" si="19"/>
        <v>162.80000000000001</v>
      </c>
      <c r="J93" s="206">
        <v>128.79</v>
      </c>
      <c r="L93" s="206">
        <v>128.77000000000001</v>
      </c>
      <c r="N93" s="236"/>
    </row>
    <row r="94" spans="1:14" s="187" customFormat="1" ht="41.4" x14ac:dyDescent="0.3">
      <c r="A94" s="240" t="s">
        <v>312</v>
      </c>
      <c r="B94" s="233">
        <v>95463</v>
      </c>
      <c r="C94" s="245" t="s">
        <v>227</v>
      </c>
      <c r="D94" s="247" t="str">
        <f t="shared" si="21"/>
        <v>M</v>
      </c>
      <c r="E94" s="236">
        <f>'Memória de Calculo'!D93</f>
        <v>2</v>
      </c>
      <c r="F94" s="218">
        <f t="shared" si="13"/>
        <v>1653.46</v>
      </c>
      <c r="G94" s="218">
        <f t="shared" si="14"/>
        <v>3306.92</v>
      </c>
      <c r="H94" s="219">
        <f t="shared" si="18"/>
        <v>2.5694740189744741E-2</v>
      </c>
      <c r="I94" s="205">
        <f t="shared" si="19"/>
        <v>1653.46</v>
      </c>
      <c r="J94" s="206">
        <v>1308.02</v>
      </c>
      <c r="L94" s="206">
        <v>1316.89</v>
      </c>
      <c r="N94" s="236"/>
    </row>
    <row r="95" spans="1:14" s="187" customFormat="1" ht="27.6" x14ac:dyDescent="0.3">
      <c r="A95" s="240" t="s">
        <v>313</v>
      </c>
      <c r="B95" s="233" t="s">
        <v>256</v>
      </c>
      <c r="C95" s="245" t="s">
        <v>42</v>
      </c>
      <c r="D95" s="247" t="s">
        <v>20</v>
      </c>
      <c r="E95" s="236">
        <f>'Memória de Calculo'!D94</f>
        <v>2</v>
      </c>
      <c r="F95" s="218">
        <f t="shared" si="13"/>
        <v>1851.41</v>
      </c>
      <c r="G95" s="218">
        <f t="shared" si="14"/>
        <v>3702.82</v>
      </c>
      <c r="H95" s="219">
        <f t="shared" si="18"/>
        <v>2.877087981245105E-2</v>
      </c>
      <c r="I95" s="205">
        <f t="shared" si="19"/>
        <v>1851.41</v>
      </c>
      <c r="J95" s="206">
        <v>1464.61</v>
      </c>
      <c r="L95" s="206">
        <v>1469.48</v>
      </c>
      <c r="N95" s="236"/>
    </row>
    <row r="96" spans="1:14" s="187" customFormat="1" ht="27.6" x14ac:dyDescent="0.3">
      <c r="A96" s="240" t="s">
        <v>314</v>
      </c>
      <c r="B96" s="233">
        <v>86889</v>
      </c>
      <c r="C96" s="245" t="s">
        <v>368</v>
      </c>
      <c r="D96" s="247" t="s">
        <v>366</v>
      </c>
      <c r="E96" s="236">
        <f>'Memória de Calculo'!D95</f>
        <v>1</v>
      </c>
      <c r="F96" s="218">
        <f t="shared" si="13"/>
        <v>779.58</v>
      </c>
      <c r="G96" s="218">
        <f t="shared" si="14"/>
        <v>779.58</v>
      </c>
      <c r="H96" s="219">
        <f t="shared" si="18"/>
        <v>6.0573299496574475E-3</v>
      </c>
      <c r="I96" s="205">
        <f t="shared" si="19"/>
        <v>779.58</v>
      </c>
      <c r="J96" s="206">
        <v>616.71</v>
      </c>
      <c r="L96" s="206">
        <v>617.64</v>
      </c>
      <c r="N96" s="236"/>
    </row>
    <row r="97" spans="1:14" s="187" customFormat="1" ht="12.75" customHeight="1" x14ac:dyDescent="0.3">
      <c r="A97" s="240" t="s">
        <v>315</v>
      </c>
      <c r="B97" s="233">
        <v>86900</v>
      </c>
      <c r="C97" s="245" t="s">
        <v>369</v>
      </c>
      <c r="D97" s="247" t="s">
        <v>366</v>
      </c>
      <c r="E97" s="236">
        <f>'Memória de Calculo'!D96</f>
        <v>1</v>
      </c>
      <c r="F97" s="218">
        <f t="shared" si="13"/>
        <v>167.02</v>
      </c>
      <c r="G97" s="218">
        <f t="shared" si="14"/>
        <v>167.02</v>
      </c>
      <c r="H97" s="219">
        <f t="shared" si="18"/>
        <v>1.2977439752068895E-3</v>
      </c>
      <c r="I97" s="205">
        <f t="shared" si="19"/>
        <v>167.02</v>
      </c>
      <c r="J97" s="206">
        <v>132.13</v>
      </c>
      <c r="L97" s="206">
        <v>127.11</v>
      </c>
      <c r="N97" s="236"/>
    </row>
    <row r="98" spans="1:14" s="187" customFormat="1" x14ac:dyDescent="0.3">
      <c r="A98" s="259" t="s">
        <v>316</v>
      </c>
      <c r="B98" s="233"/>
      <c r="C98" s="234" t="s">
        <v>43</v>
      </c>
      <c r="D98" s="247"/>
      <c r="E98" s="236">
        <f>'Memória de Calculo'!D97</f>
        <v>0</v>
      </c>
      <c r="F98" s="218">
        <f t="shared" si="13"/>
        <v>0</v>
      </c>
      <c r="G98" s="218"/>
      <c r="H98" s="219"/>
      <c r="I98" s="205">
        <f t="shared" si="19"/>
        <v>0</v>
      </c>
      <c r="J98" s="207"/>
      <c r="L98" s="207"/>
      <c r="N98" s="236"/>
    </row>
    <row r="99" spans="1:14" s="187" customFormat="1" ht="27.6" x14ac:dyDescent="0.3">
      <c r="A99" s="240" t="s">
        <v>317</v>
      </c>
      <c r="B99" s="233">
        <v>89450</v>
      </c>
      <c r="C99" s="245" t="s">
        <v>209</v>
      </c>
      <c r="D99" s="247" t="s">
        <v>20</v>
      </c>
      <c r="E99" s="236">
        <f>'Memória de Calculo'!D98</f>
        <v>15</v>
      </c>
      <c r="F99" s="218">
        <f t="shared" si="13"/>
        <v>23.46</v>
      </c>
      <c r="G99" s="218">
        <f t="shared" si="14"/>
        <v>351.9</v>
      </c>
      <c r="H99" s="219">
        <f>G99/$G$158</f>
        <v>2.7342599980559475E-3</v>
      </c>
      <c r="I99" s="205">
        <f t="shared" si="19"/>
        <v>23.46</v>
      </c>
      <c r="J99" s="206">
        <v>18.559999999999999</v>
      </c>
      <c r="L99" s="206">
        <v>21.46</v>
      </c>
      <c r="N99" s="236"/>
    </row>
    <row r="100" spans="1:14" s="187" customFormat="1" x14ac:dyDescent="0.3">
      <c r="A100" s="240" t="s">
        <v>318</v>
      </c>
      <c r="B100" s="233" t="s">
        <v>160</v>
      </c>
      <c r="C100" s="245" t="s">
        <v>228</v>
      </c>
      <c r="D100" s="247" t="str">
        <f>D96</f>
        <v xml:space="preserve">UN </v>
      </c>
      <c r="E100" s="236">
        <f>'Memória de Calculo'!D99</f>
        <v>1</v>
      </c>
      <c r="F100" s="218">
        <f t="shared" si="13"/>
        <v>13420.52</v>
      </c>
      <c r="G100" s="218">
        <f t="shared" si="14"/>
        <v>13420.52</v>
      </c>
      <c r="H100" s="219">
        <f>G100/$G$158</f>
        <v>0.10427732591392387</v>
      </c>
      <c r="I100" s="205">
        <f t="shared" si="19"/>
        <v>13420.52</v>
      </c>
      <c r="J100" s="206">
        <f>Cotação!D8</f>
        <v>10616.666666666666</v>
      </c>
      <c r="L100" s="206">
        <f>Cotação!F8</f>
        <v>0</v>
      </c>
      <c r="N100" s="236"/>
    </row>
    <row r="101" spans="1:14" s="187" customFormat="1" x14ac:dyDescent="0.3">
      <c r="A101" s="240" t="s">
        <v>379</v>
      </c>
      <c r="B101" s="233">
        <v>92270</v>
      </c>
      <c r="C101" s="245" t="s">
        <v>377</v>
      </c>
      <c r="D101" s="247" t="s">
        <v>18</v>
      </c>
      <c r="E101" s="236">
        <f>'Memória de Calculo'!D100</f>
        <v>72</v>
      </c>
      <c r="F101" s="218">
        <f t="shared" si="13"/>
        <v>57.31</v>
      </c>
      <c r="G101" s="218">
        <f t="shared" ref="G101:G107" si="22">TRUNC(F101*E101,2)</f>
        <v>4126.32</v>
      </c>
      <c r="H101" s="219">
        <f>G101/$G$158</f>
        <v>3.2061471199710763E-2</v>
      </c>
      <c r="I101" s="205">
        <f t="shared" si="19"/>
        <v>57.31</v>
      </c>
      <c r="J101" s="206">
        <v>45.34</v>
      </c>
      <c r="L101" s="206">
        <v>45.22</v>
      </c>
      <c r="N101" s="236"/>
    </row>
    <row r="102" spans="1:14" s="187" customFormat="1" x14ac:dyDescent="0.3">
      <c r="A102" s="240"/>
      <c r="B102" s="233"/>
      <c r="C102" s="234" t="s">
        <v>464</v>
      </c>
      <c r="D102" s="247"/>
      <c r="E102" s="236"/>
      <c r="F102" s="218"/>
      <c r="G102" s="218"/>
      <c r="H102" s="219"/>
      <c r="I102" s="205"/>
      <c r="J102" s="206"/>
      <c r="L102" s="206"/>
      <c r="N102" s="236"/>
    </row>
    <row r="103" spans="1:14" s="187" customFormat="1" ht="27.6" x14ac:dyDescent="0.3">
      <c r="A103" s="240" t="s">
        <v>380</v>
      </c>
      <c r="B103" s="233">
        <v>92778</v>
      </c>
      <c r="C103" s="245" t="s">
        <v>378</v>
      </c>
      <c r="D103" s="247" t="s">
        <v>132</v>
      </c>
      <c r="E103" s="236">
        <f>'Memória de Calculo'!D101</f>
        <v>17.71</v>
      </c>
      <c r="F103" s="218">
        <f t="shared" si="13"/>
        <v>9.07</v>
      </c>
      <c r="G103" s="218">
        <f t="shared" si="22"/>
        <v>160.62</v>
      </c>
      <c r="H103" s="219">
        <f>G103/$G$158</f>
        <v>1.2480160298032007E-3</v>
      </c>
      <c r="I103" s="205">
        <f t="shared" si="19"/>
        <v>9.07</v>
      </c>
      <c r="J103" s="206">
        <v>7.18</v>
      </c>
      <c r="L103" s="206">
        <v>10.88</v>
      </c>
      <c r="N103" s="236"/>
    </row>
    <row r="104" spans="1:14" s="187" customFormat="1" ht="41.4" x14ac:dyDescent="0.3">
      <c r="A104" s="240" t="s">
        <v>381</v>
      </c>
      <c r="B104" s="233">
        <v>92776</v>
      </c>
      <c r="C104" s="245" t="s">
        <v>202</v>
      </c>
      <c r="D104" s="247" t="s">
        <v>132</v>
      </c>
      <c r="E104" s="236">
        <f>'Memória de Calculo'!D102</f>
        <v>39.909999999999997</v>
      </c>
      <c r="F104" s="218">
        <f t="shared" si="13"/>
        <v>11.62</v>
      </c>
      <c r="G104" s="218">
        <f t="shared" si="22"/>
        <v>463.75</v>
      </c>
      <c r="H104" s="219">
        <f>G104/$G$158</f>
        <v>3.6033335439001018E-3</v>
      </c>
      <c r="I104" s="205">
        <f t="shared" si="19"/>
        <v>11.62</v>
      </c>
      <c r="J104" s="206">
        <v>9.1999999999999993</v>
      </c>
      <c r="L104" s="206">
        <v>9.5299999999999994</v>
      </c>
      <c r="N104" s="236"/>
    </row>
    <row r="105" spans="1:14" s="187" customFormat="1" x14ac:dyDescent="0.3">
      <c r="A105" s="240" t="s">
        <v>382</v>
      </c>
      <c r="B105" s="233">
        <v>94964</v>
      </c>
      <c r="C105" s="245" t="s">
        <v>198</v>
      </c>
      <c r="D105" s="247" t="s">
        <v>19</v>
      </c>
      <c r="E105" s="236">
        <f>'Memória de Calculo'!D103</f>
        <v>1.46</v>
      </c>
      <c r="F105" s="218">
        <f t="shared" si="13"/>
        <v>353.91</v>
      </c>
      <c r="G105" s="218">
        <f t="shared" si="22"/>
        <v>516.70000000000005</v>
      </c>
      <c r="H105" s="219">
        <f>G105/$G$158</f>
        <v>4.014754592200933E-3</v>
      </c>
      <c r="I105" s="205">
        <f t="shared" si="19"/>
        <v>353.91</v>
      </c>
      <c r="J105" s="206">
        <v>279.97000000000003</v>
      </c>
      <c r="L105" s="206">
        <v>275.31</v>
      </c>
      <c r="N105" s="236"/>
    </row>
    <row r="106" spans="1:14" s="187" customFormat="1" ht="27.6" x14ac:dyDescent="0.3">
      <c r="A106" s="240" t="s">
        <v>383</v>
      </c>
      <c r="B106" s="233">
        <v>92873</v>
      </c>
      <c r="C106" s="245" t="s">
        <v>359</v>
      </c>
      <c r="D106" s="247" t="s">
        <v>19</v>
      </c>
      <c r="E106" s="236">
        <f>'Memória de Calculo'!D104</f>
        <v>1.4580000000000002</v>
      </c>
      <c r="F106" s="218">
        <f t="shared" si="13"/>
        <v>166.53</v>
      </c>
      <c r="G106" s="218">
        <f t="shared" si="22"/>
        <v>242.8</v>
      </c>
      <c r="H106" s="219">
        <f>G106/$G$158</f>
        <v>1.8865539287524415E-3</v>
      </c>
      <c r="I106" s="205">
        <f t="shared" si="19"/>
        <v>166.53</v>
      </c>
      <c r="J106" s="206">
        <v>131.74</v>
      </c>
      <c r="L106" s="206">
        <v>131.99</v>
      </c>
      <c r="N106" s="236"/>
    </row>
    <row r="107" spans="1:14" s="187" customFormat="1" ht="41.4" x14ac:dyDescent="0.3">
      <c r="A107" s="240" t="s">
        <v>384</v>
      </c>
      <c r="B107" s="214">
        <v>90877</v>
      </c>
      <c r="C107" s="215" t="s">
        <v>454</v>
      </c>
      <c r="D107" s="247" t="s">
        <v>20</v>
      </c>
      <c r="E107" s="236">
        <f>'Memória de Calculo'!D105</f>
        <v>24</v>
      </c>
      <c r="F107" s="218">
        <f t="shared" si="13"/>
        <v>47.58</v>
      </c>
      <c r="G107" s="218">
        <f t="shared" si="22"/>
        <v>1141.92</v>
      </c>
      <c r="H107" s="219">
        <f>G107/$G$158</f>
        <v>8.8727086586531632E-3</v>
      </c>
      <c r="I107" s="205">
        <f t="shared" si="19"/>
        <v>47.58</v>
      </c>
      <c r="J107" s="206">
        <v>37.64</v>
      </c>
      <c r="L107" s="206">
        <v>38.950000000000003</v>
      </c>
      <c r="N107" s="236"/>
    </row>
    <row r="108" spans="1:14" s="187" customFormat="1" x14ac:dyDescent="0.3">
      <c r="A108" s="240"/>
      <c r="B108" s="233"/>
      <c r="C108" s="245"/>
      <c r="D108" s="247"/>
      <c r="E108" s="236">
        <f>'Memória de Calculo'!D106</f>
        <v>0</v>
      </c>
      <c r="F108" s="218">
        <f t="shared" ref="F108:F157" si="23">I108</f>
        <v>0</v>
      </c>
      <c r="G108" s="218"/>
      <c r="H108" s="219"/>
      <c r="I108" s="205">
        <f t="shared" si="19"/>
        <v>0</v>
      </c>
      <c r="J108" s="206"/>
      <c r="L108" s="206"/>
      <c r="N108" s="236"/>
    </row>
    <row r="109" spans="1:14" s="187" customFormat="1" x14ac:dyDescent="0.3">
      <c r="A109" s="259" t="s">
        <v>319</v>
      </c>
      <c r="B109" s="233"/>
      <c r="C109" s="234" t="s">
        <v>44</v>
      </c>
      <c r="D109" s="247"/>
      <c r="E109" s="236"/>
      <c r="F109" s="218">
        <f t="shared" si="23"/>
        <v>0</v>
      </c>
      <c r="G109" s="218"/>
      <c r="H109" s="219"/>
      <c r="I109" s="205">
        <f t="shared" si="19"/>
        <v>0</v>
      </c>
      <c r="J109" s="206"/>
      <c r="L109" s="206"/>
      <c r="N109" s="236"/>
    </row>
    <row r="110" spans="1:14" s="187" customFormat="1" ht="27.6" x14ac:dyDescent="0.3">
      <c r="A110" s="240" t="s">
        <v>320</v>
      </c>
      <c r="B110" s="233">
        <v>91862</v>
      </c>
      <c r="C110" s="245" t="s">
        <v>229</v>
      </c>
      <c r="D110" s="247" t="s">
        <v>20</v>
      </c>
      <c r="E110" s="236">
        <f>'Memória de Calculo'!D107</f>
        <v>8</v>
      </c>
      <c r="F110" s="218">
        <f t="shared" si="23"/>
        <v>8.11</v>
      </c>
      <c r="G110" s="218">
        <f t="shared" ref="G110:G155" si="24">TRUNC(F110*E110,2)</f>
        <v>64.88</v>
      </c>
      <c r="H110" s="219">
        <f t="shared" ref="H110:H122" si="25">G110/$G$158</f>
        <v>5.0411704652989452E-4</v>
      </c>
      <c r="I110" s="205">
        <f t="shared" si="19"/>
        <v>8.11</v>
      </c>
      <c r="J110" s="206">
        <v>6.42</v>
      </c>
      <c r="L110" s="206">
        <v>6.17</v>
      </c>
      <c r="N110" s="236"/>
    </row>
    <row r="111" spans="1:14" s="187" customFormat="1" ht="27.6" x14ac:dyDescent="0.3">
      <c r="A111" s="240" t="s">
        <v>321</v>
      </c>
      <c r="B111" s="233">
        <v>91865</v>
      </c>
      <c r="C111" s="245" t="s">
        <v>230</v>
      </c>
      <c r="D111" s="247" t="s">
        <v>20</v>
      </c>
      <c r="E111" s="236">
        <f>'Memória de Calculo'!D108</f>
        <v>20</v>
      </c>
      <c r="F111" s="218">
        <f t="shared" si="23"/>
        <v>15.45</v>
      </c>
      <c r="G111" s="218">
        <f t="shared" si="24"/>
        <v>309</v>
      </c>
      <c r="H111" s="219">
        <f t="shared" si="25"/>
        <v>2.4009273640218467E-3</v>
      </c>
      <c r="I111" s="205">
        <f t="shared" si="19"/>
        <v>15.45</v>
      </c>
      <c r="J111" s="206">
        <v>12.23</v>
      </c>
      <c r="L111" s="206">
        <v>11.71</v>
      </c>
      <c r="N111" s="236"/>
    </row>
    <row r="112" spans="1:14" s="187" customFormat="1" ht="41.4" x14ac:dyDescent="0.3">
      <c r="A112" s="240" t="s">
        <v>322</v>
      </c>
      <c r="B112" s="233" t="s">
        <v>31</v>
      </c>
      <c r="C112" s="245" t="s">
        <v>231</v>
      </c>
      <c r="D112" s="247" t="s">
        <v>366</v>
      </c>
      <c r="E112" s="236">
        <f>'Memória de Calculo'!D109</f>
        <v>1</v>
      </c>
      <c r="F112" s="218">
        <f t="shared" si="23"/>
        <v>435.89</v>
      </c>
      <c r="G112" s="218">
        <f t="shared" si="24"/>
        <v>435.89</v>
      </c>
      <c r="H112" s="219">
        <f t="shared" si="25"/>
        <v>3.3868615815646689E-3</v>
      </c>
      <c r="I112" s="205">
        <f t="shared" si="19"/>
        <v>435.89</v>
      </c>
      <c r="J112" s="206">
        <v>344.83</v>
      </c>
      <c r="L112" s="206">
        <v>343.2</v>
      </c>
      <c r="N112" s="236"/>
    </row>
    <row r="113" spans="1:14" s="187" customFormat="1" x14ac:dyDescent="0.3">
      <c r="A113" s="240" t="s">
        <v>323</v>
      </c>
      <c r="B113" s="233">
        <v>83447</v>
      </c>
      <c r="C113" s="245" t="s">
        <v>232</v>
      </c>
      <c r="D113" s="247" t="str">
        <f>D112</f>
        <v xml:space="preserve">UN </v>
      </c>
      <c r="E113" s="236">
        <f>'Memória de Calculo'!D110</f>
        <v>1</v>
      </c>
      <c r="F113" s="218">
        <f t="shared" si="23"/>
        <v>182.76</v>
      </c>
      <c r="G113" s="218">
        <f t="shared" si="24"/>
        <v>182.76</v>
      </c>
      <c r="H113" s="219">
        <f t="shared" si="25"/>
        <v>1.4200436409340864E-3</v>
      </c>
      <c r="I113" s="205">
        <f t="shared" si="19"/>
        <v>182.76</v>
      </c>
      <c r="J113" s="206">
        <v>144.58000000000001</v>
      </c>
      <c r="L113" s="206">
        <v>144.59</v>
      </c>
      <c r="N113" s="236"/>
    </row>
    <row r="114" spans="1:14" s="187" customFormat="1" ht="27.6" x14ac:dyDescent="0.3">
      <c r="A114" s="240" t="s">
        <v>324</v>
      </c>
      <c r="B114" s="233">
        <v>91924</v>
      </c>
      <c r="C114" s="245" t="s">
        <v>233</v>
      </c>
      <c r="D114" s="247" t="s">
        <v>20</v>
      </c>
      <c r="E114" s="236">
        <f>'Memória de Calculo'!D111</f>
        <v>50</v>
      </c>
      <c r="F114" s="218">
        <f t="shared" si="23"/>
        <v>1.87</v>
      </c>
      <c r="G114" s="218">
        <f t="shared" si="24"/>
        <v>93.5</v>
      </c>
      <c r="H114" s="219">
        <f t="shared" si="25"/>
        <v>7.2649420238201506E-4</v>
      </c>
      <c r="I114" s="205">
        <f t="shared" si="19"/>
        <v>1.87</v>
      </c>
      <c r="J114" s="206">
        <v>1.48</v>
      </c>
      <c r="L114" s="206">
        <v>1.37</v>
      </c>
      <c r="N114" s="236"/>
    </row>
    <row r="115" spans="1:14" s="187" customFormat="1" ht="27.6" x14ac:dyDescent="0.3">
      <c r="A115" s="240" t="s">
        <v>325</v>
      </c>
      <c r="B115" s="233">
        <v>91926</v>
      </c>
      <c r="C115" s="245" t="s">
        <v>234</v>
      </c>
      <c r="D115" s="247" t="s">
        <v>20</v>
      </c>
      <c r="E115" s="236">
        <f>'Memória de Calculo'!D112</f>
        <v>100</v>
      </c>
      <c r="F115" s="218">
        <f t="shared" si="23"/>
        <v>2.73</v>
      </c>
      <c r="G115" s="218">
        <f t="shared" si="24"/>
        <v>273</v>
      </c>
      <c r="H115" s="219">
        <f t="shared" si="25"/>
        <v>2.1212076711260974E-3</v>
      </c>
      <c r="I115" s="205">
        <f t="shared" si="19"/>
        <v>2.73</v>
      </c>
      <c r="J115" s="206">
        <v>2.16</v>
      </c>
      <c r="L115" s="206">
        <v>1.99</v>
      </c>
      <c r="N115" s="236"/>
    </row>
    <row r="116" spans="1:14" s="187" customFormat="1" ht="27.6" x14ac:dyDescent="0.3">
      <c r="A116" s="240" t="s">
        <v>326</v>
      </c>
      <c r="B116" s="233">
        <v>91932</v>
      </c>
      <c r="C116" s="245" t="s">
        <v>465</v>
      </c>
      <c r="D116" s="247" t="s">
        <v>20</v>
      </c>
      <c r="E116" s="236">
        <f>'Memória de Calculo'!D113</f>
        <v>80</v>
      </c>
      <c r="F116" s="218">
        <f t="shared" si="23"/>
        <v>9.75</v>
      </c>
      <c r="G116" s="218">
        <f t="shared" si="24"/>
        <v>780</v>
      </c>
      <c r="H116" s="219">
        <f t="shared" si="25"/>
        <v>6.0605933460745644E-3</v>
      </c>
      <c r="I116" s="205">
        <f t="shared" si="19"/>
        <v>9.75</v>
      </c>
      <c r="J116" s="206">
        <v>7.72</v>
      </c>
      <c r="L116" s="206">
        <v>7.04</v>
      </c>
      <c r="N116" s="236"/>
    </row>
    <row r="117" spans="1:14" s="187" customFormat="1" ht="27.6" x14ac:dyDescent="0.3">
      <c r="A117" s="240" t="s">
        <v>327</v>
      </c>
      <c r="B117" s="233" t="s">
        <v>32</v>
      </c>
      <c r="C117" s="245" t="s">
        <v>235</v>
      </c>
      <c r="D117" s="247" t="s">
        <v>366</v>
      </c>
      <c r="E117" s="236">
        <f>'Memória de Calculo'!D114</f>
        <v>1</v>
      </c>
      <c r="F117" s="218">
        <f t="shared" si="23"/>
        <v>70.819999999999993</v>
      </c>
      <c r="G117" s="218">
        <f t="shared" si="24"/>
        <v>70.819999999999993</v>
      </c>
      <c r="H117" s="219">
        <f t="shared" si="25"/>
        <v>5.5027079585769306E-4</v>
      </c>
      <c r="I117" s="205">
        <f t="shared" si="19"/>
        <v>70.819999999999993</v>
      </c>
      <c r="J117" s="206">
        <v>56.03</v>
      </c>
      <c r="L117" s="206">
        <v>50.85</v>
      </c>
      <c r="N117" s="236"/>
    </row>
    <row r="118" spans="1:14" s="187" customFormat="1" ht="27.6" x14ac:dyDescent="0.3">
      <c r="A118" s="240" t="s">
        <v>328</v>
      </c>
      <c r="B118" s="233" t="s">
        <v>33</v>
      </c>
      <c r="C118" s="245" t="s">
        <v>45</v>
      </c>
      <c r="D118" s="247" t="str">
        <f t="shared" ref="D118:D122" si="26">D117</f>
        <v xml:space="preserve">UN </v>
      </c>
      <c r="E118" s="236">
        <f>'Memória de Calculo'!D115</f>
        <v>1</v>
      </c>
      <c r="F118" s="218">
        <f t="shared" si="23"/>
        <v>15.18</v>
      </c>
      <c r="G118" s="218">
        <f t="shared" si="24"/>
        <v>15.18</v>
      </c>
      <c r="H118" s="219">
        <f t="shared" si="25"/>
        <v>1.1794847050437422E-4</v>
      </c>
      <c r="I118" s="205">
        <f t="shared" si="19"/>
        <v>15.18</v>
      </c>
      <c r="J118" s="206">
        <v>12.01</v>
      </c>
      <c r="L118" s="206">
        <v>11.02</v>
      </c>
      <c r="N118" s="236"/>
    </row>
    <row r="119" spans="1:14" s="187" customFormat="1" ht="27.6" x14ac:dyDescent="0.3">
      <c r="A119" s="240" t="s">
        <v>329</v>
      </c>
      <c r="B119" s="233">
        <v>91953</v>
      </c>
      <c r="C119" s="245" t="s">
        <v>236</v>
      </c>
      <c r="D119" s="247" t="str">
        <f t="shared" si="26"/>
        <v xml:space="preserve">UN </v>
      </c>
      <c r="E119" s="236">
        <f>'Memória de Calculo'!D116</f>
        <v>1</v>
      </c>
      <c r="F119" s="218">
        <f t="shared" si="23"/>
        <v>23.89</v>
      </c>
      <c r="G119" s="218">
        <f t="shared" si="24"/>
        <v>23.89</v>
      </c>
      <c r="H119" s="219">
        <f t="shared" si="25"/>
        <v>1.8562509620220684E-4</v>
      </c>
      <c r="I119" s="205">
        <f t="shared" si="19"/>
        <v>23.89</v>
      </c>
      <c r="J119" s="206">
        <v>18.899999999999999</v>
      </c>
      <c r="L119" s="206">
        <v>20.57</v>
      </c>
      <c r="N119" s="236"/>
    </row>
    <row r="120" spans="1:14" s="187" customFormat="1" x14ac:dyDescent="0.3">
      <c r="A120" s="240" t="s">
        <v>330</v>
      </c>
      <c r="B120" s="233">
        <v>91998</v>
      </c>
      <c r="C120" s="245" t="s">
        <v>237</v>
      </c>
      <c r="D120" s="247" t="s">
        <v>366</v>
      </c>
      <c r="E120" s="236">
        <f>'Memória de Calculo'!D117</f>
        <v>3</v>
      </c>
      <c r="F120" s="218">
        <f t="shared" si="23"/>
        <v>17.73</v>
      </c>
      <c r="G120" s="218">
        <f t="shared" si="24"/>
        <v>53.19</v>
      </c>
      <c r="H120" s="219">
        <f t="shared" si="25"/>
        <v>4.1328584625346932E-4</v>
      </c>
      <c r="I120" s="205">
        <f t="shared" si="19"/>
        <v>17.73</v>
      </c>
      <c r="J120" s="206">
        <v>14.03</v>
      </c>
      <c r="L120" s="206">
        <v>9.75</v>
      </c>
      <c r="N120" s="236"/>
    </row>
    <row r="121" spans="1:14" s="187" customFormat="1" ht="27.6" x14ac:dyDescent="0.3">
      <c r="A121" s="240" t="s">
        <v>331</v>
      </c>
      <c r="B121" s="233" t="s">
        <v>34</v>
      </c>
      <c r="C121" s="245" t="s">
        <v>46</v>
      </c>
      <c r="D121" s="247" t="str">
        <f t="shared" si="26"/>
        <v xml:space="preserve">UN </v>
      </c>
      <c r="E121" s="236">
        <f>'Memória de Calculo'!D118</f>
        <v>8</v>
      </c>
      <c r="F121" s="218">
        <f t="shared" si="23"/>
        <v>164</v>
      </c>
      <c r="G121" s="218">
        <f t="shared" si="24"/>
        <v>1312</v>
      </c>
      <c r="H121" s="219">
        <f t="shared" si="25"/>
        <v>1.019422880775619E-2</v>
      </c>
      <c r="I121" s="205">
        <f t="shared" si="19"/>
        <v>164</v>
      </c>
      <c r="J121" s="206">
        <v>129.74</v>
      </c>
      <c r="L121" s="206">
        <v>129.32</v>
      </c>
      <c r="N121" s="236"/>
    </row>
    <row r="122" spans="1:14" s="187" customFormat="1" x14ac:dyDescent="0.3">
      <c r="A122" s="240" t="s">
        <v>332</v>
      </c>
      <c r="B122" s="233">
        <v>96985</v>
      </c>
      <c r="C122" s="245" t="s">
        <v>47</v>
      </c>
      <c r="D122" s="247" t="str">
        <f t="shared" si="26"/>
        <v xml:space="preserve">UN </v>
      </c>
      <c r="E122" s="236">
        <f>'Memória de Calculo'!D119</f>
        <v>1</v>
      </c>
      <c r="F122" s="218">
        <f t="shared" si="23"/>
        <v>48.08</v>
      </c>
      <c r="G122" s="218">
        <f t="shared" si="24"/>
        <v>48.08</v>
      </c>
      <c r="H122" s="219">
        <f t="shared" si="25"/>
        <v>3.735811898452116E-4</v>
      </c>
      <c r="I122" s="205">
        <f t="shared" si="19"/>
        <v>48.08</v>
      </c>
      <c r="J122" s="206">
        <v>38.04</v>
      </c>
      <c r="L122" s="206">
        <v>36.979999999999997</v>
      </c>
      <c r="N122" s="236"/>
    </row>
    <row r="123" spans="1:14" s="187" customFormat="1" x14ac:dyDescent="0.3">
      <c r="A123" s="259" t="s">
        <v>333</v>
      </c>
      <c r="B123" s="233"/>
      <c r="C123" s="234" t="s">
        <v>48</v>
      </c>
      <c r="D123" s="247"/>
      <c r="E123" s="236">
        <f>'Memória de Calculo'!D120</f>
        <v>0</v>
      </c>
      <c r="F123" s="218">
        <f t="shared" si="23"/>
        <v>0</v>
      </c>
      <c r="G123" s="218"/>
      <c r="H123" s="219"/>
      <c r="I123" s="205">
        <f t="shared" si="19"/>
        <v>0</v>
      </c>
      <c r="J123" s="206"/>
      <c r="L123" s="206"/>
      <c r="N123" s="236"/>
    </row>
    <row r="124" spans="1:14" s="187" customFormat="1" ht="27.6" x14ac:dyDescent="0.3">
      <c r="A124" s="240" t="s">
        <v>334</v>
      </c>
      <c r="B124" s="233">
        <v>87878</v>
      </c>
      <c r="C124" s="245" t="s">
        <v>238</v>
      </c>
      <c r="D124" s="247" t="s">
        <v>18</v>
      </c>
      <c r="E124" s="236">
        <f>'Memória de Calculo'!D121</f>
        <v>272.16000000000003</v>
      </c>
      <c r="F124" s="218">
        <f t="shared" si="23"/>
        <v>3.56</v>
      </c>
      <c r="G124" s="218">
        <f t="shared" si="24"/>
        <v>968.88</v>
      </c>
      <c r="H124" s="219">
        <f>G124/$G$158</f>
        <v>7.5281893348009285E-3</v>
      </c>
      <c r="I124" s="205">
        <f t="shared" si="19"/>
        <v>3.56</v>
      </c>
      <c r="J124" s="206">
        <v>2.82</v>
      </c>
      <c r="L124" s="206">
        <v>2.81</v>
      </c>
      <c r="N124" s="236"/>
    </row>
    <row r="125" spans="1:14" s="187" customFormat="1" ht="41.4" x14ac:dyDescent="0.3">
      <c r="A125" s="240" t="s">
        <v>335</v>
      </c>
      <c r="B125" s="233">
        <v>87528</v>
      </c>
      <c r="C125" s="245" t="s">
        <v>239</v>
      </c>
      <c r="D125" s="247" t="s">
        <v>18</v>
      </c>
      <c r="E125" s="236">
        <f>'Memória de Calculo'!D122</f>
        <v>272.16000000000003</v>
      </c>
      <c r="F125" s="218">
        <f t="shared" si="23"/>
        <v>35.78</v>
      </c>
      <c r="G125" s="218">
        <f t="shared" si="24"/>
        <v>9737.8799999999992</v>
      </c>
      <c r="H125" s="219">
        <f>G125/$G$158</f>
        <v>7.5663244529323812E-2</v>
      </c>
      <c r="I125" s="205">
        <f t="shared" si="19"/>
        <v>35.78</v>
      </c>
      <c r="J125" s="206">
        <v>28.31</v>
      </c>
      <c r="L125" s="206">
        <v>28.18</v>
      </c>
      <c r="N125" s="236"/>
    </row>
    <row r="126" spans="1:14" s="187" customFormat="1" ht="55.2" x14ac:dyDescent="0.3">
      <c r="A126" s="240" t="s">
        <v>336</v>
      </c>
      <c r="B126" s="233">
        <v>87535</v>
      </c>
      <c r="C126" s="245" t="s">
        <v>240</v>
      </c>
      <c r="D126" s="247" t="s">
        <v>18</v>
      </c>
      <c r="E126" s="236">
        <f>'Memória de Calculo'!D123</f>
        <v>72.799999999999983</v>
      </c>
      <c r="F126" s="218">
        <f t="shared" si="23"/>
        <v>25.68</v>
      </c>
      <c r="G126" s="218">
        <f t="shared" si="24"/>
        <v>1869.5</v>
      </c>
      <c r="H126" s="219">
        <f>G126/$G$158</f>
        <v>1.4525999051905639E-2</v>
      </c>
      <c r="I126" s="205">
        <f t="shared" si="19"/>
        <v>25.68</v>
      </c>
      <c r="J126" s="206">
        <v>20.32</v>
      </c>
      <c r="L126" s="206">
        <v>20.170000000000002</v>
      </c>
      <c r="N126" s="236"/>
    </row>
    <row r="127" spans="1:14" s="187" customFormat="1" ht="41.4" x14ac:dyDescent="0.3">
      <c r="A127" s="240" t="s">
        <v>337</v>
      </c>
      <c r="B127" s="233">
        <v>87265</v>
      </c>
      <c r="C127" s="245" t="s">
        <v>241</v>
      </c>
      <c r="D127" s="247" t="s">
        <v>18</v>
      </c>
      <c r="E127" s="236">
        <f>'Memória de Calculo'!D124</f>
        <v>72.799999999999983</v>
      </c>
      <c r="F127" s="218">
        <f t="shared" si="23"/>
        <v>54.17</v>
      </c>
      <c r="G127" s="218">
        <f t="shared" si="24"/>
        <v>3943.57</v>
      </c>
      <c r="H127" s="219">
        <f>G127/$G$158</f>
        <v>3.0641505258691373E-2</v>
      </c>
      <c r="I127" s="205">
        <f t="shared" si="19"/>
        <v>54.17</v>
      </c>
      <c r="J127" s="206">
        <v>42.86</v>
      </c>
      <c r="L127" s="206">
        <v>42.43</v>
      </c>
      <c r="N127" s="236"/>
    </row>
    <row r="128" spans="1:14" s="187" customFormat="1" x14ac:dyDescent="0.3">
      <c r="A128" s="259" t="s">
        <v>338</v>
      </c>
      <c r="B128" s="233"/>
      <c r="C128" s="234" t="s">
        <v>49</v>
      </c>
      <c r="D128" s="247"/>
      <c r="E128" s="236">
        <f>'Memória de Calculo'!D125</f>
        <v>0</v>
      </c>
      <c r="F128" s="218">
        <f t="shared" si="23"/>
        <v>0</v>
      </c>
      <c r="G128" s="218"/>
      <c r="H128" s="219"/>
      <c r="I128" s="205">
        <f t="shared" si="19"/>
        <v>0</v>
      </c>
      <c r="J128" s="206"/>
      <c r="L128" s="206"/>
      <c r="N128" s="236"/>
    </row>
    <row r="129" spans="1:14" s="187" customFormat="1" x14ac:dyDescent="0.3">
      <c r="A129" s="240" t="s">
        <v>339</v>
      </c>
      <c r="B129" s="233">
        <v>94097</v>
      </c>
      <c r="C129" s="245" t="s">
        <v>192</v>
      </c>
      <c r="D129" s="247" t="s">
        <v>18</v>
      </c>
      <c r="E129" s="236">
        <f>'Memória de Calculo'!D126</f>
        <v>74.599999999999994</v>
      </c>
      <c r="F129" s="218">
        <f t="shared" si="23"/>
        <v>5.04</v>
      </c>
      <c r="G129" s="218">
        <f t="shared" si="24"/>
        <v>375.98</v>
      </c>
      <c r="H129" s="219">
        <f>G129/$G$158</f>
        <v>2.9213613926373267E-3</v>
      </c>
      <c r="I129" s="205">
        <f t="shared" si="19"/>
        <v>5.04</v>
      </c>
      <c r="J129" s="206">
        <v>3.99</v>
      </c>
      <c r="L129" s="206">
        <v>3.98</v>
      </c>
      <c r="N129" s="236"/>
    </row>
    <row r="130" spans="1:14" s="187" customFormat="1" ht="12.75" customHeight="1" x14ac:dyDescent="0.3">
      <c r="A130" s="240" t="s">
        <v>340</v>
      </c>
      <c r="B130" s="233">
        <v>87620</v>
      </c>
      <c r="C130" s="245" t="s">
        <v>242</v>
      </c>
      <c r="D130" s="247" t="s">
        <v>18</v>
      </c>
      <c r="E130" s="236">
        <f>'Memória de Calculo'!D127</f>
        <v>74.599999999999994</v>
      </c>
      <c r="F130" s="218">
        <f t="shared" si="23"/>
        <v>27.49</v>
      </c>
      <c r="G130" s="218">
        <f t="shared" si="24"/>
        <v>2050.75</v>
      </c>
      <c r="H130" s="219">
        <f>G130/$G$158</f>
        <v>1.5934310005721042E-2</v>
      </c>
      <c r="I130" s="205">
        <f t="shared" si="19"/>
        <v>27.49</v>
      </c>
      <c r="J130" s="206">
        <v>21.75</v>
      </c>
      <c r="L130" s="206">
        <v>21.28</v>
      </c>
      <c r="N130" s="236"/>
    </row>
    <row r="131" spans="1:14" s="187" customFormat="1" ht="27.6" x14ac:dyDescent="0.3">
      <c r="A131" s="240" t="s">
        <v>341</v>
      </c>
      <c r="B131" s="233">
        <v>87247</v>
      </c>
      <c r="C131" s="245" t="s">
        <v>243</v>
      </c>
      <c r="D131" s="247" t="s">
        <v>18</v>
      </c>
      <c r="E131" s="236">
        <f>'Memória de Calculo'!D128</f>
        <v>74.599999999999994</v>
      </c>
      <c r="F131" s="218">
        <f t="shared" si="23"/>
        <v>44.01</v>
      </c>
      <c r="G131" s="218">
        <f t="shared" si="24"/>
        <v>3283.14</v>
      </c>
      <c r="H131" s="219">
        <f>G131/$G$158</f>
        <v>2.550996979260416E-2</v>
      </c>
      <c r="I131" s="205">
        <f t="shared" si="19"/>
        <v>44.01</v>
      </c>
      <c r="J131" s="206">
        <v>34.82</v>
      </c>
      <c r="L131" s="206">
        <v>32.869999999999997</v>
      </c>
      <c r="N131" s="236"/>
    </row>
    <row r="132" spans="1:14" s="187" customFormat="1" x14ac:dyDescent="0.3">
      <c r="A132" s="259" t="s">
        <v>342</v>
      </c>
      <c r="B132" s="233"/>
      <c r="C132" s="234" t="s">
        <v>50</v>
      </c>
      <c r="D132" s="247"/>
      <c r="E132" s="236">
        <f>'Memória de Calculo'!D129</f>
        <v>0</v>
      </c>
      <c r="F132" s="218">
        <f t="shared" si="23"/>
        <v>0</v>
      </c>
      <c r="G132" s="218"/>
      <c r="H132" s="219"/>
      <c r="I132" s="205">
        <f t="shared" si="19"/>
        <v>0</v>
      </c>
      <c r="J132" s="206"/>
      <c r="L132" s="206"/>
      <c r="N132" s="236"/>
    </row>
    <row r="133" spans="1:14" s="187" customFormat="1" ht="27.6" x14ac:dyDescent="0.3">
      <c r="A133" s="240" t="s">
        <v>343</v>
      </c>
      <c r="B133" s="233">
        <v>96112</v>
      </c>
      <c r="C133" s="245" t="s">
        <v>244</v>
      </c>
      <c r="D133" s="247" t="s">
        <v>18</v>
      </c>
      <c r="E133" s="236">
        <f>'Memória de Calculo'!D130</f>
        <v>74.599999999999994</v>
      </c>
      <c r="F133" s="218">
        <f t="shared" si="23"/>
        <v>86.67</v>
      </c>
      <c r="G133" s="218">
        <f t="shared" si="24"/>
        <v>6465.58</v>
      </c>
      <c r="H133" s="219">
        <f>G133/$G$158</f>
        <v>5.0237501444247157E-2</v>
      </c>
      <c r="I133" s="205">
        <f t="shared" si="19"/>
        <v>86.67</v>
      </c>
      <c r="J133" s="206">
        <v>68.569999999999993</v>
      </c>
      <c r="L133" s="206">
        <v>68.41</v>
      </c>
      <c r="N133" s="236"/>
    </row>
    <row r="134" spans="1:14" s="187" customFormat="1" x14ac:dyDescent="0.3">
      <c r="A134" s="240" t="s">
        <v>344</v>
      </c>
      <c r="B134" s="233">
        <v>40905</v>
      </c>
      <c r="C134" s="245" t="s">
        <v>385</v>
      </c>
      <c r="D134" s="247" t="s">
        <v>18</v>
      </c>
      <c r="E134" s="236">
        <f>'Memória de Calculo'!D131</f>
        <v>74.599999999999994</v>
      </c>
      <c r="F134" s="218">
        <f t="shared" si="23"/>
        <v>21.95</v>
      </c>
      <c r="G134" s="218">
        <f t="shared" ref="G134" si="27">TRUNC(F134*E134,2)</f>
        <v>1637.47</v>
      </c>
      <c r="H134" s="219">
        <f>G134/$G$158</f>
        <v>1.2723127931277842E-2</v>
      </c>
      <c r="I134" s="205">
        <f t="shared" si="19"/>
        <v>21.95</v>
      </c>
      <c r="J134" s="206">
        <v>17.37</v>
      </c>
      <c r="L134" s="206">
        <v>17.36</v>
      </c>
      <c r="N134" s="236"/>
    </row>
    <row r="135" spans="1:14" s="187" customFormat="1" x14ac:dyDescent="0.3">
      <c r="A135" s="259" t="s">
        <v>345</v>
      </c>
      <c r="B135" s="233"/>
      <c r="C135" s="260" t="s">
        <v>51</v>
      </c>
      <c r="D135" s="247"/>
      <c r="E135" s="236"/>
      <c r="F135" s="218">
        <f t="shared" si="23"/>
        <v>0</v>
      </c>
      <c r="G135" s="218"/>
      <c r="H135" s="219"/>
      <c r="I135" s="205">
        <f t="shared" si="19"/>
        <v>0</v>
      </c>
      <c r="J135" s="206"/>
      <c r="L135" s="206"/>
      <c r="N135" s="236"/>
    </row>
    <row r="136" spans="1:14" s="187" customFormat="1" ht="27.6" x14ac:dyDescent="0.3">
      <c r="A136" s="240" t="s">
        <v>346</v>
      </c>
      <c r="B136" s="233">
        <v>94231</v>
      </c>
      <c r="C136" s="245" t="s">
        <v>245</v>
      </c>
      <c r="D136" s="247" t="s">
        <v>20</v>
      </c>
      <c r="E136" s="236">
        <f>'Memória de Calculo'!D133</f>
        <v>23.099999999999998</v>
      </c>
      <c r="F136" s="218">
        <f t="shared" si="23"/>
        <v>35.630000000000003</v>
      </c>
      <c r="G136" s="218">
        <f t="shared" si="24"/>
        <v>823.05</v>
      </c>
      <c r="H136" s="219">
        <f>G136/$G$158</f>
        <v>6.3950914788290644E-3</v>
      </c>
      <c r="I136" s="205">
        <f t="shared" si="19"/>
        <v>35.630000000000003</v>
      </c>
      <c r="J136" s="206">
        <v>28.19</v>
      </c>
      <c r="L136" s="206">
        <v>26.97</v>
      </c>
      <c r="N136" s="236"/>
    </row>
    <row r="137" spans="1:14" s="187" customFormat="1" ht="41.4" x14ac:dyDescent="0.3">
      <c r="A137" s="240" t="s">
        <v>386</v>
      </c>
      <c r="B137" s="233">
        <v>92539</v>
      </c>
      <c r="C137" s="245" t="s">
        <v>246</v>
      </c>
      <c r="D137" s="247" t="s">
        <v>18</v>
      </c>
      <c r="E137" s="236">
        <f>'Memória de Calculo'!D134</f>
        <v>90.86</v>
      </c>
      <c r="F137" s="218">
        <f t="shared" si="23"/>
        <v>46.13</v>
      </c>
      <c r="G137" s="218">
        <f t="shared" si="24"/>
        <v>4191.37</v>
      </c>
      <c r="H137" s="219">
        <f>G137/$G$158</f>
        <v>3.2566909144790442E-2</v>
      </c>
      <c r="I137" s="205">
        <f t="shared" si="19"/>
        <v>46.13</v>
      </c>
      <c r="J137" s="206">
        <v>36.5</v>
      </c>
      <c r="L137" s="206">
        <v>35.909999999999997</v>
      </c>
      <c r="N137" s="236"/>
    </row>
    <row r="138" spans="1:14" s="187" customFormat="1" ht="27.6" x14ac:dyDescent="0.3">
      <c r="A138" s="240" t="s">
        <v>387</v>
      </c>
      <c r="B138" s="233">
        <v>94440</v>
      </c>
      <c r="C138" s="245" t="s">
        <v>247</v>
      </c>
      <c r="D138" s="247" t="s">
        <v>18</v>
      </c>
      <c r="E138" s="236">
        <f>'Memória de Calculo'!D135</f>
        <v>90.86</v>
      </c>
      <c r="F138" s="218">
        <f t="shared" si="23"/>
        <v>48.57</v>
      </c>
      <c r="G138" s="218">
        <f t="shared" si="24"/>
        <v>4413.07</v>
      </c>
      <c r="H138" s="219">
        <f>G138/$G$158</f>
        <v>3.4289516253540098E-2</v>
      </c>
      <c r="I138" s="205">
        <f t="shared" si="19"/>
        <v>48.57</v>
      </c>
      <c r="J138" s="206">
        <v>38.43</v>
      </c>
      <c r="L138" s="206">
        <v>38.43</v>
      </c>
      <c r="N138" s="236"/>
    </row>
    <row r="139" spans="1:14" s="187" customFormat="1" ht="27.6" x14ac:dyDescent="0.3">
      <c r="A139" s="240" t="s">
        <v>431</v>
      </c>
      <c r="B139" s="233">
        <v>92259</v>
      </c>
      <c r="C139" s="245" t="s">
        <v>433</v>
      </c>
      <c r="D139" s="247" t="s">
        <v>366</v>
      </c>
      <c r="E139" s="236">
        <f>'Memória de Calculo'!D136</f>
        <v>1</v>
      </c>
      <c r="F139" s="218">
        <f t="shared" si="23"/>
        <v>296.95999999999998</v>
      </c>
      <c r="G139" s="218">
        <f t="shared" ref="G139:G140" si="28">TRUNC(F139*E139,2)</f>
        <v>296.95999999999998</v>
      </c>
      <c r="H139" s="219">
        <f>G139/$G$158</f>
        <v>2.3073766667311571E-3</v>
      </c>
      <c r="I139" s="205">
        <f t="shared" si="19"/>
        <v>296.95999999999998</v>
      </c>
      <c r="J139" s="206">
        <v>234.92</v>
      </c>
      <c r="L139" s="206">
        <v>239.69</v>
      </c>
      <c r="N139" s="236"/>
    </row>
    <row r="140" spans="1:14" s="187" customFormat="1" ht="27.6" x14ac:dyDescent="0.3">
      <c r="A140" s="240" t="s">
        <v>432</v>
      </c>
      <c r="B140" s="233">
        <v>92260</v>
      </c>
      <c r="C140" s="245" t="s">
        <v>434</v>
      </c>
      <c r="D140" s="247" t="s">
        <v>366</v>
      </c>
      <c r="E140" s="236">
        <f>'Memória de Calculo'!D137</f>
        <v>1</v>
      </c>
      <c r="F140" s="218">
        <f t="shared" si="23"/>
        <v>344.72</v>
      </c>
      <c r="G140" s="218">
        <f t="shared" si="28"/>
        <v>344.72</v>
      </c>
      <c r="H140" s="219">
        <f>G140/$G$158</f>
        <v>2.6784714593061846E-3</v>
      </c>
      <c r="I140" s="205">
        <f t="shared" ref="I140:I163" si="29">TRUNC(J140*1.2641,2)</f>
        <v>344.72</v>
      </c>
      <c r="J140" s="206">
        <v>272.7</v>
      </c>
      <c r="L140" s="206">
        <v>277.52</v>
      </c>
      <c r="N140" s="236"/>
    </row>
    <row r="141" spans="1:14" s="187" customFormat="1" x14ac:dyDescent="0.3">
      <c r="A141" s="259" t="s">
        <v>347</v>
      </c>
      <c r="B141" s="233"/>
      <c r="C141" s="234" t="s">
        <v>52</v>
      </c>
      <c r="D141" s="247"/>
      <c r="E141" s="236">
        <f>'Memória de Calculo'!D138</f>
        <v>0</v>
      </c>
      <c r="F141" s="218">
        <f t="shared" si="23"/>
        <v>0</v>
      </c>
      <c r="G141" s="218"/>
      <c r="H141" s="219"/>
      <c r="I141" s="205">
        <f t="shared" si="29"/>
        <v>0</v>
      </c>
      <c r="J141" s="206"/>
      <c r="L141" s="206"/>
      <c r="N141" s="236"/>
    </row>
    <row r="142" spans="1:14" s="187" customFormat="1" x14ac:dyDescent="0.3">
      <c r="A142" s="240" t="s">
        <v>348</v>
      </c>
      <c r="B142" s="233">
        <v>72122</v>
      </c>
      <c r="C142" s="245" t="s">
        <v>53</v>
      </c>
      <c r="D142" s="247" t="s">
        <v>18</v>
      </c>
      <c r="E142" s="236">
        <f>'Memória de Calculo'!D139</f>
        <v>1.68</v>
      </c>
      <c r="F142" s="218">
        <f t="shared" si="23"/>
        <v>107.84</v>
      </c>
      <c r="G142" s="218">
        <f t="shared" si="24"/>
        <v>181.17</v>
      </c>
      <c r="H142" s="219">
        <f>G142/$G$158</f>
        <v>1.4076893544978574E-3</v>
      </c>
      <c r="I142" s="205">
        <f t="shared" si="29"/>
        <v>107.84</v>
      </c>
      <c r="J142" s="206">
        <v>85.31</v>
      </c>
      <c r="L142" s="206">
        <v>86.55</v>
      </c>
      <c r="N142" s="236"/>
    </row>
    <row r="143" spans="1:14" s="187" customFormat="1" x14ac:dyDescent="0.3">
      <c r="A143" s="259" t="s">
        <v>349</v>
      </c>
      <c r="B143" s="233"/>
      <c r="C143" s="234" t="s">
        <v>54</v>
      </c>
      <c r="D143" s="247"/>
      <c r="E143" s="236">
        <f>'Memória de Calculo'!D140</f>
        <v>0</v>
      </c>
      <c r="F143" s="218">
        <f t="shared" si="23"/>
        <v>0</v>
      </c>
      <c r="G143" s="218"/>
      <c r="H143" s="219"/>
      <c r="I143" s="205">
        <f t="shared" si="29"/>
        <v>0</v>
      </c>
      <c r="J143" s="206"/>
      <c r="L143" s="206"/>
      <c r="N143" s="236"/>
    </row>
    <row r="144" spans="1:14" s="187" customFormat="1" x14ac:dyDescent="0.3">
      <c r="A144" s="240" t="s">
        <v>350</v>
      </c>
      <c r="B144" s="233">
        <v>88497</v>
      </c>
      <c r="C144" s="245" t="s">
        <v>248</v>
      </c>
      <c r="D144" s="247" t="s">
        <v>18</v>
      </c>
      <c r="E144" s="236">
        <f>'Memória de Calculo'!D141</f>
        <v>199.36000000000004</v>
      </c>
      <c r="F144" s="218">
        <f t="shared" si="23"/>
        <v>12.99</v>
      </c>
      <c r="G144" s="218">
        <f t="shared" si="24"/>
        <v>2589.6799999999998</v>
      </c>
      <c r="H144" s="219">
        <f>G144/$G$158</f>
        <v>2.0121791508285098E-2</v>
      </c>
      <c r="I144" s="205">
        <f t="shared" si="29"/>
        <v>12.99</v>
      </c>
      <c r="J144" s="206">
        <v>10.28</v>
      </c>
      <c r="L144" s="206">
        <v>10.17</v>
      </c>
      <c r="N144" s="236"/>
    </row>
    <row r="145" spans="1:14" s="187" customFormat="1" ht="27.6" x14ac:dyDescent="0.3">
      <c r="A145" s="240" t="s">
        <v>351</v>
      </c>
      <c r="B145" s="233">
        <v>88487</v>
      </c>
      <c r="C145" s="245" t="s">
        <v>390</v>
      </c>
      <c r="D145" s="247" t="s">
        <v>18</v>
      </c>
      <c r="E145" s="236">
        <f>'Memória de Calculo'!D142</f>
        <v>199.36000000000004</v>
      </c>
      <c r="F145" s="218">
        <f t="shared" si="23"/>
        <v>9.68</v>
      </c>
      <c r="G145" s="218">
        <f t="shared" si="24"/>
        <v>1929.8</v>
      </c>
      <c r="H145" s="219">
        <f>G145/$G$158</f>
        <v>1.4994529537506018E-2</v>
      </c>
      <c r="I145" s="205">
        <f t="shared" si="29"/>
        <v>9.68</v>
      </c>
      <c r="J145" s="206">
        <v>7.66</v>
      </c>
      <c r="L145" s="206">
        <v>7.59</v>
      </c>
      <c r="N145" s="236"/>
    </row>
    <row r="146" spans="1:14" s="187" customFormat="1" ht="27.6" x14ac:dyDescent="0.3">
      <c r="A146" s="240" t="s">
        <v>352</v>
      </c>
      <c r="B146" s="233">
        <v>88423</v>
      </c>
      <c r="C146" s="245" t="s">
        <v>249</v>
      </c>
      <c r="D146" s="247" t="s">
        <v>18</v>
      </c>
      <c r="E146" s="236">
        <f>'Memória de Calculo'!D143</f>
        <v>199.36000000000004</v>
      </c>
      <c r="F146" s="218">
        <f t="shared" si="23"/>
        <v>17.399999999999999</v>
      </c>
      <c r="G146" s="218">
        <f t="shared" si="24"/>
        <v>3468.86</v>
      </c>
      <c r="H146" s="219">
        <f>G146/$G$158</f>
        <v>2.6953012608287454E-2</v>
      </c>
      <c r="I146" s="205">
        <f t="shared" si="29"/>
        <v>17.399999999999999</v>
      </c>
      <c r="J146" s="206">
        <v>13.77</v>
      </c>
      <c r="L146" s="206">
        <v>13.62</v>
      </c>
      <c r="N146" s="236"/>
    </row>
    <row r="147" spans="1:14" s="187" customFormat="1" x14ac:dyDescent="0.3">
      <c r="A147" s="240" t="s">
        <v>353</v>
      </c>
      <c r="B147" s="233" t="s">
        <v>391</v>
      </c>
      <c r="C147" s="245" t="s">
        <v>55</v>
      </c>
      <c r="D147" s="247" t="s">
        <v>18</v>
      </c>
      <c r="E147" s="236">
        <f>'Memória de Calculo'!D144</f>
        <v>17.220000000000002</v>
      </c>
      <c r="F147" s="218">
        <f t="shared" si="23"/>
        <v>25.06</v>
      </c>
      <c r="G147" s="218">
        <f t="shared" si="24"/>
        <v>431.53</v>
      </c>
      <c r="H147" s="219">
        <f>G147/$G$158</f>
        <v>3.3529844187584058E-3</v>
      </c>
      <c r="I147" s="205">
        <f t="shared" si="29"/>
        <v>25.06</v>
      </c>
      <c r="J147" s="206">
        <v>19.829999999999998</v>
      </c>
      <c r="L147" s="206">
        <v>20.29</v>
      </c>
      <c r="N147" s="236"/>
    </row>
    <row r="148" spans="1:14" s="187" customFormat="1" x14ac:dyDescent="0.3">
      <c r="A148" s="259" t="s">
        <v>354</v>
      </c>
      <c r="B148" s="233"/>
      <c r="C148" s="234" t="s">
        <v>56</v>
      </c>
      <c r="D148" s="247"/>
      <c r="E148" s="236">
        <f>'Memória de Calculo'!D145</f>
        <v>0</v>
      </c>
      <c r="F148" s="218">
        <f t="shared" si="23"/>
        <v>0</v>
      </c>
      <c r="G148" s="218"/>
      <c r="H148" s="219"/>
      <c r="I148" s="205">
        <f t="shared" si="29"/>
        <v>0</v>
      </c>
      <c r="J148" s="206"/>
      <c r="L148" s="206"/>
      <c r="N148" s="236"/>
    </row>
    <row r="149" spans="1:14" s="187" customFormat="1" ht="27.6" x14ac:dyDescent="0.3">
      <c r="A149" s="240" t="s">
        <v>355</v>
      </c>
      <c r="B149" s="233" t="s">
        <v>151</v>
      </c>
      <c r="C149" s="245" t="s">
        <v>57</v>
      </c>
      <c r="D149" s="247" t="s">
        <v>366</v>
      </c>
      <c r="E149" s="236">
        <f>'Memória de Calculo'!D146</f>
        <v>1</v>
      </c>
      <c r="F149" s="218">
        <f t="shared" si="23"/>
        <v>189.72</v>
      </c>
      <c r="G149" s="218">
        <f t="shared" si="24"/>
        <v>189.72</v>
      </c>
      <c r="H149" s="219">
        <f>G149/$G$158</f>
        <v>1.4741227815605979E-3</v>
      </c>
      <c r="I149" s="205">
        <f t="shared" si="29"/>
        <v>189.72</v>
      </c>
      <c r="J149" s="206">
        <v>150.09</v>
      </c>
      <c r="L149" s="206">
        <v>136.99</v>
      </c>
      <c r="N149" s="236"/>
    </row>
    <row r="150" spans="1:14" s="187" customFormat="1" x14ac:dyDescent="0.3">
      <c r="A150" s="240" t="s">
        <v>356</v>
      </c>
      <c r="B150" s="233" t="s">
        <v>152</v>
      </c>
      <c r="C150" s="245" t="s">
        <v>58</v>
      </c>
      <c r="D150" s="247" t="str">
        <f>D149</f>
        <v xml:space="preserve">UN </v>
      </c>
      <c r="E150" s="236">
        <f>'Memória de Calculo'!D147</f>
        <v>1</v>
      </c>
      <c r="F150" s="218">
        <f t="shared" si="23"/>
        <v>184.07</v>
      </c>
      <c r="G150" s="218">
        <f t="shared" si="24"/>
        <v>184.07</v>
      </c>
      <c r="H150" s="219">
        <f>G150/$G$158</f>
        <v>1.4302223297589039E-3</v>
      </c>
      <c r="I150" s="205">
        <f t="shared" si="29"/>
        <v>184.07</v>
      </c>
      <c r="J150" s="206">
        <v>145.62</v>
      </c>
      <c r="L150" s="206">
        <v>132.94999999999999</v>
      </c>
      <c r="N150" s="236"/>
    </row>
    <row r="151" spans="1:14" s="187" customFormat="1" x14ac:dyDescent="0.3">
      <c r="A151" s="259" t="s">
        <v>357</v>
      </c>
      <c r="B151" s="233"/>
      <c r="C151" s="260" t="s">
        <v>250</v>
      </c>
      <c r="D151" s="247"/>
      <c r="E151" s="236">
        <f>'Memória de Calculo'!D148</f>
        <v>0</v>
      </c>
      <c r="F151" s="218">
        <f t="shared" si="23"/>
        <v>0</v>
      </c>
      <c r="G151" s="218"/>
      <c r="H151" s="219"/>
      <c r="I151" s="205">
        <f t="shared" si="29"/>
        <v>0</v>
      </c>
      <c r="J151" s="206"/>
      <c r="L151" s="206"/>
      <c r="N151" s="236"/>
    </row>
    <row r="152" spans="1:14" s="187" customFormat="1" ht="27.6" x14ac:dyDescent="0.3">
      <c r="A152" s="240" t="s">
        <v>358</v>
      </c>
      <c r="B152" s="233" t="s">
        <v>160</v>
      </c>
      <c r="C152" s="245" t="s">
        <v>141</v>
      </c>
      <c r="D152" s="247" t="str">
        <f>D150</f>
        <v xml:space="preserve">UN </v>
      </c>
      <c r="E152" s="236">
        <v>13</v>
      </c>
      <c r="F152" s="218">
        <f t="shared" si="23"/>
        <v>230.69</v>
      </c>
      <c r="G152" s="218">
        <f t="shared" si="24"/>
        <v>2998.97</v>
      </c>
      <c r="H152" s="219">
        <f>G152/$G$158</f>
        <v>2.3301971316765688E-2</v>
      </c>
      <c r="I152" s="205">
        <f t="shared" si="29"/>
        <v>230.69</v>
      </c>
      <c r="J152" s="206">
        <f>Cotação!D18</f>
        <v>182.5</v>
      </c>
      <c r="L152" s="206">
        <v>280</v>
      </c>
      <c r="N152" s="236"/>
    </row>
    <row r="153" spans="1:14" s="187" customFormat="1" x14ac:dyDescent="0.3">
      <c r="A153" s="259" t="s">
        <v>388</v>
      </c>
      <c r="B153" s="233"/>
      <c r="C153" s="234" t="s">
        <v>142</v>
      </c>
      <c r="D153" s="247"/>
      <c r="E153" s="236">
        <f>'Memória de Calculo'!D150</f>
        <v>0</v>
      </c>
      <c r="F153" s="218">
        <f t="shared" si="23"/>
        <v>0</v>
      </c>
      <c r="G153" s="218"/>
      <c r="H153" s="219"/>
      <c r="I153" s="205">
        <f t="shared" si="29"/>
        <v>0</v>
      </c>
      <c r="J153" s="206"/>
      <c r="L153" s="206"/>
      <c r="N153" s="236"/>
    </row>
    <row r="154" spans="1:14" s="187" customFormat="1" x14ac:dyDescent="0.3">
      <c r="A154" s="240" t="s">
        <v>389</v>
      </c>
      <c r="B154" s="233" t="s">
        <v>257</v>
      </c>
      <c r="C154" s="245" t="s">
        <v>251</v>
      </c>
      <c r="D154" s="247" t="str">
        <f>D152</f>
        <v xml:space="preserve">UN </v>
      </c>
      <c r="E154" s="236">
        <f>'Memória de Calculo'!D151</f>
        <v>10</v>
      </c>
      <c r="F154" s="218">
        <f t="shared" si="23"/>
        <v>195.07</v>
      </c>
      <c r="G154" s="218">
        <f t="shared" si="24"/>
        <v>1950.7</v>
      </c>
      <c r="H154" s="219">
        <f>G154/$G$158</f>
        <v>1.5156922359214941E-2</v>
      </c>
      <c r="I154" s="205">
        <f t="shared" si="29"/>
        <v>195.07</v>
      </c>
      <c r="J154" s="206">
        <v>154.32</v>
      </c>
      <c r="L154" s="206">
        <v>141.41999999999999</v>
      </c>
      <c r="N154" s="236"/>
    </row>
    <row r="155" spans="1:14" s="187" customFormat="1" x14ac:dyDescent="0.3">
      <c r="A155" s="240" t="s">
        <v>439</v>
      </c>
      <c r="B155" s="233" t="s">
        <v>392</v>
      </c>
      <c r="C155" s="245" t="s">
        <v>143</v>
      </c>
      <c r="D155" s="247" t="s">
        <v>18</v>
      </c>
      <c r="E155" s="236">
        <f>'Memória de Calculo'!D152</f>
        <v>500</v>
      </c>
      <c r="F155" s="218">
        <f t="shared" si="23"/>
        <v>14.34</v>
      </c>
      <c r="G155" s="218">
        <f t="shared" si="24"/>
        <v>7170</v>
      </c>
      <c r="H155" s="219">
        <f>G155/$G$158</f>
        <v>5.5710838835070033E-2</v>
      </c>
      <c r="I155" s="205">
        <f t="shared" si="29"/>
        <v>14.34</v>
      </c>
      <c r="J155" s="206">
        <v>11.35</v>
      </c>
      <c r="L155" s="206">
        <v>10.87</v>
      </c>
      <c r="N155" s="236"/>
    </row>
    <row r="156" spans="1:14" s="187" customFormat="1" x14ac:dyDescent="0.3">
      <c r="A156" s="259" t="s">
        <v>440</v>
      </c>
      <c r="B156" s="233"/>
      <c r="C156" s="234" t="s">
        <v>59</v>
      </c>
      <c r="D156" s="247"/>
      <c r="E156" s="236">
        <f>'Memória de Calculo'!D153</f>
        <v>0</v>
      </c>
      <c r="F156" s="218">
        <f t="shared" si="23"/>
        <v>0</v>
      </c>
      <c r="G156" s="218"/>
      <c r="H156" s="219"/>
      <c r="I156" s="205">
        <f t="shared" si="29"/>
        <v>0</v>
      </c>
      <c r="J156" s="206"/>
      <c r="L156" s="206"/>
      <c r="N156" s="236"/>
    </row>
    <row r="157" spans="1:14" s="187" customFormat="1" x14ac:dyDescent="0.3">
      <c r="A157" s="240" t="s">
        <v>441</v>
      </c>
      <c r="B157" s="233">
        <v>9537</v>
      </c>
      <c r="C157" s="245" t="s">
        <v>60</v>
      </c>
      <c r="D157" s="247" t="s">
        <v>18</v>
      </c>
      <c r="E157" s="236">
        <f>'Memória de Calculo'!D154</f>
        <v>68.599999999999994</v>
      </c>
      <c r="F157" s="218">
        <f t="shared" si="23"/>
        <v>2.59</v>
      </c>
      <c r="G157" s="218">
        <f>TRUNC(F157*E157,2)</f>
        <v>177.67</v>
      </c>
      <c r="H157" s="219">
        <f>G157/$G$158</f>
        <v>1.3804943843552151E-3</v>
      </c>
      <c r="I157" s="205">
        <f t="shared" si="29"/>
        <v>2.59</v>
      </c>
      <c r="J157" s="206">
        <v>2.0499999999999998</v>
      </c>
      <c r="L157" s="206">
        <v>2.0499999999999998</v>
      </c>
      <c r="N157" s="236"/>
    </row>
    <row r="158" spans="1:14" s="187" customFormat="1" x14ac:dyDescent="0.3">
      <c r="A158" s="240"/>
      <c r="B158" s="233"/>
      <c r="C158" s="248" t="s">
        <v>252</v>
      </c>
      <c r="D158" s="247"/>
      <c r="E158" s="236"/>
      <c r="F158" s="237"/>
      <c r="G158" s="249">
        <f>SUM(G45:G157)</f>
        <v>128700.27000000002</v>
      </c>
      <c r="H158" s="222">
        <f>G158/$G$164</f>
        <v>0.42901039543008562</v>
      </c>
      <c r="I158" s="205">
        <f t="shared" si="29"/>
        <v>0</v>
      </c>
      <c r="J158" s="206"/>
      <c r="L158" s="206"/>
      <c r="N158" s="236"/>
    </row>
    <row r="159" spans="1:14" s="187" customFormat="1" x14ac:dyDescent="0.3">
      <c r="A159" s="224" t="s">
        <v>396</v>
      </c>
      <c r="B159" s="225"/>
      <c r="C159" s="226" t="s">
        <v>258</v>
      </c>
      <c r="D159" s="227"/>
      <c r="E159" s="228"/>
      <c r="F159" s="229"/>
      <c r="G159" s="230"/>
      <c r="H159" s="231"/>
      <c r="I159" s="205">
        <f t="shared" si="29"/>
        <v>0</v>
      </c>
      <c r="J159" s="206"/>
      <c r="L159" s="206"/>
      <c r="N159" s="228"/>
    </row>
    <row r="160" spans="1:14" s="187" customFormat="1" ht="27.6" x14ac:dyDescent="0.3">
      <c r="A160" s="240" t="s">
        <v>397</v>
      </c>
      <c r="B160" s="233" t="s">
        <v>393</v>
      </c>
      <c r="C160" s="261" t="s">
        <v>394</v>
      </c>
      <c r="D160" s="247" t="s">
        <v>20</v>
      </c>
      <c r="E160" s="236">
        <f>'Memória de Calculo'!D157</f>
        <v>368.46</v>
      </c>
      <c r="F160" s="218">
        <f t="shared" ref="F160:F162" si="30">I160</f>
        <v>61.56</v>
      </c>
      <c r="G160" s="218">
        <f>TRUNC(F160*E160,2)</f>
        <v>22682.39</v>
      </c>
      <c r="H160" s="222">
        <f>G160/$G$163</f>
        <v>0.62475493071955479</v>
      </c>
      <c r="I160" s="205">
        <f t="shared" si="29"/>
        <v>61.56</v>
      </c>
      <c r="J160" s="206">
        <v>48.7</v>
      </c>
      <c r="L160" s="206">
        <v>48.61</v>
      </c>
      <c r="N160" s="236"/>
    </row>
    <row r="161" spans="1:14" s="187" customFormat="1" ht="27.6" x14ac:dyDescent="0.3">
      <c r="A161" s="240" t="s">
        <v>398</v>
      </c>
      <c r="B161" s="233" t="s">
        <v>399</v>
      </c>
      <c r="C161" s="261" t="s">
        <v>400</v>
      </c>
      <c r="D161" s="247" t="s">
        <v>18</v>
      </c>
      <c r="E161" s="236">
        <f>'Memória de Calculo'!D158</f>
        <v>12.8</v>
      </c>
      <c r="F161" s="218">
        <f t="shared" si="30"/>
        <v>1014.23</v>
      </c>
      <c r="G161" s="218">
        <f>TRUNC(F161*E161,2)</f>
        <v>12982.14</v>
      </c>
      <c r="H161" s="222">
        <f>G161/$G$163</f>
        <v>0.35757501640222045</v>
      </c>
      <c r="I161" s="205">
        <f t="shared" si="29"/>
        <v>1014.23</v>
      </c>
      <c r="J161" s="206">
        <v>802.34</v>
      </c>
      <c r="L161" s="206">
        <v>801.15</v>
      </c>
      <c r="N161" s="236"/>
    </row>
    <row r="162" spans="1:14" s="187" customFormat="1" x14ac:dyDescent="0.3">
      <c r="A162" s="240" t="s">
        <v>401</v>
      </c>
      <c r="B162" s="233" t="s">
        <v>391</v>
      </c>
      <c r="C162" s="245" t="s">
        <v>55</v>
      </c>
      <c r="D162" s="247" t="s">
        <v>18</v>
      </c>
      <c r="E162" s="236">
        <f>'Memória de Calculo'!D159</f>
        <v>25.6</v>
      </c>
      <c r="F162" s="218">
        <f t="shared" si="30"/>
        <v>25.06</v>
      </c>
      <c r="G162" s="218">
        <f t="shared" ref="G162" si="31">TRUNC(F162*E162,2)</f>
        <v>641.53</v>
      </c>
      <c r="H162" s="222">
        <f>G162/$G$163</f>
        <v>1.7670052878224738E-2</v>
      </c>
      <c r="I162" s="205">
        <f t="shared" si="29"/>
        <v>25.06</v>
      </c>
      <c r="J162" s="206">
        <v>19.829999999999998</v>
      </c>
      <c r="L162" s="206">
        <v>20.29</v>
      </c>
      <c r="N162" s="236"/>
    </row>
    <row r="163" spans="1:14" s="187" customFormat="1" x14ac:dyDescent="0.3">
      <c r="A163" s="240"/>
      <c r="B163" s="233"/>
      <c r="C163" s="248" t="s">
        <v>395</v>
      </c>
      <c r="D163" s="247"/>
      <c r="E163" s="236"/>
      <c r="F163" s="237"/>
      <c r="G163" s="249">
        <f>SUM(G160:G162)</f>
        <v>36306.06</v>
      </c>
      <c r="H163" s="222"/>
      <c r="I163" s="205">
        <f t="shared" si="29"/>
        <v>0</v>
      </c>
      <c r="J163" s="206"/>
      <c r="L163" s="185"/>
    </row>
    <row r="164" spans="1:14" s="187" customFormat="1" ht="14.4" thickBot="1" x14ac:dyDescent="0.35">
      <c r="A164" s="250"/>
      <c r="B164" s="251"/>
      <c r="C164" s="252" t="s">
        <v>253</v>
      </c>
      <c r="D164" s="253"/>
      <c r="E164" s="254"/>
      <c r="F164" s="255"/>
      <c r="G164" s="256">
        <f>G158+G42+G35+G27+G16+G13+G163</f>
        <v>299993.36</v>
      </c>
      <c r="H164" s="257">
        <f>H158+H42+H35+H27+H16+H13</f>
        <v>0.87897712136028616</v>
      </c>
      <c r="I164" s="205"/>
      <c r="J164" s="206"/>
      <c r="L164" s="185"/>
    </row>
    <row r="166" spans="1:14" x14ac:dyDescent="0.3">
      <c r="A166" s="184" t="str">
        <f>'Físico-Financeiro'!A22:G22</f>
        <v>Corguinho - MS, 15 de Maio de 2018</v>
      </c>
    </row>
    <row r="171" spans="1:14" x14ac:dyDescent="0.3">
      <c r="C171" s="184" t="s">
        <v>445</v>
      </c>
    </row>
    <row r="172" spans="1:14" x14ac:dyDescent="0.3">
      <c r="C172" s="184" t="s">
        <v>446</v>
      </c>
    </row>
  </sheetData>
  <mergeCells count="14">
    <mergeCell ref="E2:G2"/>
    <mergeCell ref="E3:G3"/>
    <mergeCell ref="G8:G9"/>
    <mergeCell ref="H8:H9"/>
    <mergeCell ref="A7:H7"/>
    <mergeCell ref="A2:D5"/>
    <mergeCell ref="D8:D9"/>
    <mergeCell ref="A8:A9"/>
    <mergeCell ref="B8:B9"/>
    <mergeCell ref="C8:C9"/>
    <mergeCell ref="E8:E9"/>
    <mergeCell ref="F8:F9"/>
    <mergeCell ref="A6:D6"/>
    <mergeCell ref="E4:H4"/>
  </mergeCells>
  <phoneticPr fontId="3" type="noConversion"/>
  <printOptions horizontalCentered="1"/>
  <pageMargins left="0.19685039370078741" right="0.19685039370078741" top="0.78740157480314965" bottom="0.19685039370078741" header="0" footer="0"/>
  <pageSetup paperSize="9" scale="85" orientation="landscape" r:id="rId1"/>
  <rowBreaks count="2" manualBreakCount="2">
    <brk id="27" max="7" man="1"/>
    <brk id="134" max="15" man="1"/>
  </rowBreaks>
  <colBreaks count="1" manualBreakCount="1">
    <brk id="10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52"/>
  <sheetViews>
    <sheetView showZeros="0" topLeftCell="A7" zoomScale="80" zoomScaleNormal="80" workbookViewId="0">
      <selection activeCell="A24" sqref="A24"/>
    </sheetView>
  </sheetViews>
  <sheetFormatPr defaultColWidth="9.109375" defaultRowHeight="13.2" x14ac:dyDescent="0.25"/>
  <cols>
    <col min="1" max="1" width="5.6640625" style="7" customWidth="1"/>
    <col min="2" max="2" width="75.6640625" style="7" customWidth="1"/>
    <col min="3" max="3" width="15.6640625" style="7" customWidth="1"/>
    <col min="4" max="4" width="13.6640625" style="9" customWidth="1"/>
    <col min="5" max="26" width="15.6640625" style="7" customWidth="1"/>
    <col min="27" max="16384" width="9.109375" style="7"/>
  </cols>
  <sheetData>
    <row r="1" spans="1:25" ht="59.25" customHeight="1" x14ac:dyDescent="0.25">
      <c r="A1" s="19"/>
      <c r="B1" s="16" t="s">
        <v>23</v>
      </c>
      <c r="C1" s="16"/>
      <c r="D1" s="16"/>
      <c r="E1" s="17"/>
      <c r="F1" s="17"/>
      <c r="G1" s="17"/>
      <c r="H1" s="17"/>
      <c r="I1" s="17"/>
      <c r="J1" s="17"/>
      <c r="K1" s="17"/>
      <c r="L1" s="17"/>
      <c r="M1" s="17"/>
      <c r="N1" s="18"/>
    </row>
    <row r="2" spans="1:25" ht="12.75" customHeight="1" x14ac:dyDescent="0.25">
      <c r="A2" s="400" t="str">
        <f>Planilha!A2</f>
        <v>OBRA: REVITALIZAÇÃO DO BALNEARIO MUNICIPAL - 2º ETAPA
PROGRAMA: TURISMO NO BRASIL
EMPREENDIMENTO: APOIO A PROJETO DE INFRAESTRUTURA TURÍSTICA - Infraestrutura em Orla Fluvial - Revitalização do Balneário
Barrinha em Corguinho - MS - 2ª ETAPA
AGENTE PROMOTOR: PREFEITURA MUNICIPAL DE CORGUINHO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  <c r="S2" s="401"/>
      <c r="T2" s="401"/>
      <c r="U2" s="401"/>
      <c r="V2" s="401"/>
    </row>
    <row r="3" spans="1:25" x14ac:dyDescent="0.25">
      <c r="A3" s="400"/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401"/>
      <c r="T3" s="401"/>
      <c r="U3" s="401"/>
      <c r="V3" s="401"/>
    </row>
    <row r="4" spans="1:25" x14ac:dyDescent="0.25">
      <c r="A4" s="400"/>
      <c r="B4" s="401"/>
      <c r="C4" s="401"/>
      <c r="D4" s="401"/>
      <c r="E4" s="401"/>
      <c r="F4" s="401"/>
      <c r="G4" s="401"/>
      <c r="H4" s="401"/>
      <c r="I4" s="401"/>
      <c r="J4" s="401"/>
      <c r="K4" s="401"/>
      <c r="L4" s="401"/>
      <c r="M4" s="401"/>
      <c r="N4" s="401"/>
      <c r="O4" s="401"/>
      <c r="P4" s="401"/>
      <c r="Q4" s="401"/>
      <c r="R4" s="401"/>
      <c r="S4" s="401"/>
      <c r="T4" s="401"/>
      <c r="U4" s="401"/>
      <c r="V4" s="401"/>
    </row>
    <row r="5" spans="1:25" ht="39.75" customHeight="1" thickBot="1" x14ac:dyDescent="0.3">
      <c r="A5" s="400"/>
      <c r="B5" s="401"/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1"/>
      <c r="N5" s="401"/>
      <c r="O5" s="401"/>
      <c r="P5" s="401"/>
      <c r="Q5" s="401"/>
      <c r="R5" s="401"/>
      <c r="S5" s="401"/>
      <c r="T5" s="401"/>
      <c r="U5" s="401"/>
      <c r="V5" s="401"/>
    </row>
    <row r="6" spans="1:25" ht="20.100000000000001" customHeight="1" thickBot="1" x14ac:dyDescent="0.3">
      <c r="A6" s="402" t="s">
        <v>28</v>
      </c>
      <c r="B6" s="403"/>
      <c r="C6" s="403"/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403"/>
      <c r="O6" s="403"/>
      <c r="P6" s="403"/>
      <c r="Q6" s="403"/>
      <c r="R6" s="403"/>
      <c r="S6" s="403"/>
      <c r="T6" s="403"/>
      <c r="U6" s="403"/>
      <c r="V6" s="404"/>
    </row>
    <row r="7" spans="1:25" ht="38.25" customHeight="1" x14ac:dyDescent="0.25">
      <c r="A7" s="385" t="s">
        <v>0</v>
      </c>
      <c r="B7" s="387" t="s">
        <v>2</v>
      </c>
      <c r="C7" s="398" t="s">
        <v>402</v>
      </c>
      <c r="D7" s="389" t="s">
        <v>448</v>
      </c>
      <c r="E7" s="382" t="s">
        <v>25</v>
      </c>
      <c r="F7" s="383"/>
      <c r="G7" s="384"/>
      <c r="H7" s="382" t="s">
        <v>26</v>
      </c>
      <c r="I7" s="383"/>
      <c r="J7" s="384"/>
      <c r="K7" s="382" t="s">
        <v>27</v>
      </c>
      <c r="L7" s="383"/>
      <c r="M7" s="384"/>
      <c r="N7" s="382" t="s">
        <v>24</v>
      </c>
      <c r="O7" s="383"/>
      <c r="P7" s="384"/>
      <c r="Q7" s="382" t="s">
        <v>119</v>
      </c>
      <c r="R7" s="383"/>
      <c r="S7" s="384"/>
      <c r="T7" s="382" t="s">
        <v>120</v>
      </c>
      <c r="U7" s="383"/>
      <c r="V7" s="384"/>
    </row>
    <row r="8" spans="1:25" ht="13.8" thickBot="1" x14ac:dyDescent="0.3">
      <c r="A8" s="386"/>
      <c r="B8" s="388"/>
      <c r="C8" s="399"/>
      <c r="D8" s="390"/>
      <c r="E8" s="313" t="s">
        <v>121</v>
      </c>
      <c r="F8" s="298" t="s">
        <v>122</v>
      </c>
      <c r="G8" s="299" t="s">
        <v>123</v>
      </c>
      <c r="H8" s="313" t="s">
        <v>121</v>
      </c>
      <c r="I8" s="298" t="s">
        <v>122</v>
      </c>
      <c r="J8" s="299" t="s">
        <v>123</v>
      </c>
      <c r="K8" s="313" t="s">
        <v>121</v>
      </c>
      <c r="L8" s="298" t="s">
        <v>122</v>
      </c>
      <c r="M8" s="299" t="s">
        <v>123</v>
      </c>
      <c r="N8" s="313" t="s">
        <v>121</v>
      </c>
      <c r="O8" s="298" t="s">
        <v>122</v>
      </c>
      <c r="P8" s="299" t="s">
        <v>123</v>
      </c>
      <c r="Q8" s="313" t="s">
        <v>121</v>
      </c>
      <c r="R8" s="298" t="s">
        <v>122</v>
      </c>
      <c r="S8" s="299" t="s">
        <v>123</v>
      </c>
      <c r="T8" s="313" t="s">
        <v>121</v>
      </c>
      <c r="U8" s="298" t="s">
        <v>122</v>
      </c>
      <c r="V8" s="299" t="s">
        <v>123</v>
      </c>
    </row>
    <row r="9" spans="1:25" x14ac:dyDescent="0.25">
      <c r="A9" s="320">
        <f>Resumo!A8</f>
        <v>1</v>
      </c>
      <c r="B9" s="321" t="str">
        <f>Planilha!C10</f>
        <v>SERVIÇOS GERAIS DE CANTEIRO</v>
      </c>
      <c r="C9" s="322">
        <f>Resumo!C8</f>
        <v>10074.94</v>
      </c>
      <c r="D9" s="323">
        <f t="shared" ref="D9:D15" si="0">C9/$C$18</f>
        <v>3.3583876656469995E-2</v>
      </c>
      <c r="E9" s="326">
        <f>F9*$C$9</f>
        <v>10074.94</v>
      </c>
      <c r="F9" s="327">
        <v>1</v>
      </c>
      <c r="G9" s="328">
        <f>F9</f>
        <v>1</v>
      </c>
      <c r="H9" s="314">
        <f>I9*$C$9</f>
        <v>0</v>
      </c>
      <c r="I9" s="297"/>
      <c r="J9" s="300">
        <f>I9+G9</f>
        <v>1</v>
      </c>
      <c r="K9" s="326">
        <f>L9*$C$9</f>
        <v>0</v>
      </c>
      <c r="L9" s="327"/>
      <c r="M9" s="328">
        <f>L9+J9</f>
        <v>1</v>
      </c>
      <c r="N9" s="314">
        <f>O9*$C$9</f>
        <v>0</v>
      </c>
      <c r="O9" s="297"/>
      <c r="P9" s="300">
        <f>O9+M9</f>
        <v>1</v>
      </c>
      <c r="Q9" s="326">
        <f>R9*$C$9</f>
        <v>0</v>
      </c>
      <c r="R9" s="327"/>
      <c r="S9" s="328">
        <f>R9+P9</f>
        <v>1</v>
      </c>
      <c r="T9" s="326">
        <f>U9*$C$9</f>
        <v>0</v>
      </c>
      <c r="U9" s="327"/>
      <c r="V9" s="328">
        <f>U9+S9</f>
        <v>1</v>
      </c>
      <c r="X9" s="332"/>
      <c r="Y9" s="332"/>
    </row>
    <row r="10" spans="1:25" x14ac:dyDescent="0.25">
      <c r="A10" s="290">
        <f>Resumo!A9</f>
        <v>2</v>
      </c>
      <c r="B10" s="24" t="str">
        <f>Planilha!C14</f>
        <v>PROJETOS EXECUTIVOS</v>
      </c>
      <c r="C10" s="36">
        <f>Resumo!C9</f>
        <v>4500</v>
      </c>
      <c r="D10" s="324">
        <f t="shared" si="0"/>
        <v>1.5000332007348427E-2</v>
      </c>
      <c r="E10" s="306">
        <f>F10*$C$10</f>
        <v>4500</v>
      </c>
      <c r="F10" s="8">
        <v>1</v>
      </c>
      <c r="G10" s="291">
        <f t="shared" ref="G10:G15" si="1">F10</f>
        <v>1</v>
      </c>
      <c r="H10" s="315">
        <f>I10*$C$10</f>
        <v>0</v>
      </c>
      <c r="I10" s="8"/>
      <c r="J10" s="301">
        <f t="shared" ref="J10:J15" si="2">I10+G10</f>
        <v>1</v>
      </c>
      <c r="K10" s="306">
        <f>L10*$C$10</f>
        <v>0</v>
      </c>
      <c r="L10" s="8"/>
      <c r="M10" s="291">
        <f t="shared" ref="M10:M15" si="3">L10+J10</f>
        <v>1</v>
      </c>
      <c r="N10" s="315">
        <f>O10*$C$10</f>
        <v>0</v>
      </c>
      <c r="O10" s="8"/>
      <c r="P10" s="301">
        <f t="shared" ref="P10:P15" si="4">O10+M10</f>
        <v>1</v>
      </c>
      <c r="Q10" s="306">
        <f>R10*$C$10</f>
        <v>0</v>
      </c>
      <c r="R10" s="8"/>
      <c r="S10" s="291">
        <f t="shared" ref="S10:S15" si="5">R10+P10</f>
        <v>1</v>
      </c>
      <c r="T10" s="306">
        <f>U10*$C$10</f>
        <v>0</v>
      </c>
      <c r="U10" s="8"/>
      <c r="V10" s="291">
        <f t="shared" ref="V10:V15" si="6">U10+S10</f>
        <v>1</v>
      </c>
      <c r="X10" s="332"/>
      <c r="Y10" s="332"/>
    </row>
    <row r="11" spans="1:25" x14ac:dyDescent="0.25">
      <c r="A11" s="290">
        <v>3</v>
      </c>
      <c r="B11" s="24" t="str">
        <f>Planilha!C17</f>
        <v>REVITALIZALÇÃO DA QUADRA DE AREIA</v>
      </c>
      <c r="C11" s="36">
        <f>Resumo!C10</f>
        <v>75035.37</v>
      </c>
      <c r="D11" s="324">
        <f t="shared" si="0"/>
        <v>0.25012343606538484</v>
      </c>
      <c r="E11" s="305">
        <f>F11*$C$11</f>
        <v>11255.305499999999</v>
      </c>
      <c r="F11" s="8">
        <v>0.15</v>
      </c>
      <c r="G11" s="291">
        <f t="shared" si="1"/>
        <v>0.15</v>
      </c>
      <c r="H11" s="316">
        <f>I11*$C$11</f>
        <v>26262.379499999995</v>
      </c>
      <c r="I11" s="8">
        <v>0.35</v>
      </c>
      <c r="J11" s="301">
        <f t="shared" si="2"/>
        <v>0.5</v>
      </c>
      <c r="K11" s="305">
        <f>L11*$C$11</f>
        <v>18758.842499999999</v>
      </c>
      <c r="L11" s="8">
        <v>0.25</v>
      </c>
      <c r="M11" s="291">
        <f t="shared" si="3"/>
        <v>0.75</v>
      </c>
      <c r="N11" s="316">
        <f>O11*$C$11</f>
        <v>11255.305499999999</v>
      </c>
      <c r="O11" s="8">
        <v>0.15</v>
      </c>
      <c r="P11" s="301">
        <f t="shared" si="4"/>
        <v>0.9</v>
      </c>
      <c r="Q11" s="305">
        <f>R11*$C$11</f>
        <v>7503.5370000000003</v>
      </c>
      <c r="R11" s="8">
        <v>0.1</v>
      </c>
      <c r="S11" s="291">
        <f t="shared" si="5"/>
        <v>1</v>
      </c>
      <c r="T11" s="305">
        <f>U11*$C$11</f>
        <v>0</v>
      </c>
      <c r="U11" s="8"/>
      <c r="V11" s="291">
        <f t="shared" si="6"/>
        <v>1</v>
      </c>
      <c r="X11" s="332"/>
      <c r="Y11" s="332"/>
    </row>
    <row r="12" spans="1:25" x14ac:dyDescent="0.25">
      <c r="A12" s="290">
        <v>4</v>
      </c>
      <c r="B12" s="24" t="str">
        <f>Planilha!C28</f>
        <v>PISTA DE CAMINHADA</v>
      </c>
      <c r="C12" s="36">
        <f>Resumo!C11</f>
        <v>33560.729999999996</v>
      </c>
      <c r="D12" s="324">
        <f t="shared" si="0"/>
        <v>0.11187157609088412</v>
      </c>
      <c r="E12" s="306">
        <f>F12*$C$12</f>
        <v>5034.1094999999996</v>
      </c>
      <c r="F12" s="8">
        <v>0.15</v>
      </c>
      <c r="G12" s="291">
        <f t="shared" si="1"/>
        <v>0.15</v>
      </c>
      <c r="H12" s="315">
        <f>I12*$C$12</f>
        <v>11746.255499999997</v>
      </c>
      <c r="I12" s="8">
        <v>0.35</v>
      </c>
      <c r="J12" s="301">
        <f t="shared" si="2"/>
        <v>0.5</v>
      </c>
      <c r="K12" s="306">
        <f>L12*$C$12</f>
        <v>8390.182499999999</v>
      </c>
      <c r="L12" s="8">
        <v>0.25</v>
      </c>
      <c r="M12" s="291">
        <f t="shared" si="3"/>
        <v>0.75</v>
      </c>
      <c r="N12" s="315">
        <f>O12*$C$12</f>
        <v>5034.1094999999996</v>
      </c>
      <c r="O12" s="8">
        <v>0.15</v>
      </c>
      <c r="P12" s="301">
        <f t="shared" si="4"/>
        <v>0.9</v>
      </c>
      <c r="Q12" s="306">
        <f>R12*$C$12</f>
        <v>3356.0729999999999</v>
      </c>
      <c r="R12" s="8">
        <v>0.1</v>
      </c>
      <c r="S12" s="291">
        <f t="shared" si="5"/>
        <v>1</v>
      </c>
      <c r="T12" s="306">
        <f>U12*$C$12</f>
        <v>0</v>
      </c>
      <c r="U12" s="8"/>
      <c r="V12" s="291">
        <f t="shared" si="6"/>
        <v>1</v>
      </c>
      <c r="X12" s="332"/>
      <c r="Y12" s="332"/>
    </row>
    <row r="13" spans="1:25" x14ac:dyDescent="0.25">
      <c r="A13" s="290">
        <v>5</v>
      </c>
      <c r="B13" s="24" t="str">
        <f>Planilha!C36</f>
        <v xml:space="preserve">APARELHOS EM EUCALÍPTO TRATADO (ACADEMIA E PARQUE INFANTIL): </v>
      </c>
      <c r="C13" s="36">
        <f>Resumo!C12</f>
        <v>11815.99</v>
      </c>
      <c r="D13" s="324">
        <f t="shared" si="0"/>
        <v>3.9387505110113095E-2</v>
      </c>
      <c r="E13" s="305">
        <f>F13*$C$13</f>
        <v>0</v>
      </c>
      <c r="F13" s="8"/>
      <c r="G13" s="291">
        <f t="shared" si="1"/>
        <v>0</v>
      </c>
      <c r="H13" s="316">
        <f>I13*$C$13</f>
        <v>0</v>
      </c>
      <c r="I13" s="8"/>
      <c r="J13" s="301">
        <f t="shared" si="2"/>
        <v>0</v>
      </c>
      <c r="K13" s="305">
        <f>L13*$C$13</f>
        <v>0</v>
      </c>
      <c r="L13" s="8"/>
      <c r="M13" s="291">
        <f t="shared" si="3"/>
        <v>0</v>
      </c>
      <c r="N13" s="316">
        <f>O13*$C$13</f>
        <v>0</v>
      </c>
      <c r="O13" s="8"/>
      <c r="P13" s="301">
        <f t="shared" si="4"/>
        <v>0</v>
      </c>
      <c r="Q13" s="305">
        <f>R13*$C$13</f>
        <v>2363.1979999999999</v>
      </c>
      <c r="R13" s="8">
        <v>0.2</v>
      </c>
      <c r="S13" s="291">
        <f t="shared" si="5"/>
        <v>0.2</v>
      </c>
      <c r="T13" s="305">
        <f>U13*$C$13</f>
        <v>9452.7919999999995</v>
      </c>
      <c r="U13" s="8">
        <v>0.8</v>
      </c>
      <c r="V13" s="291">
        <f t="shared" si="6"/>
        <v>1</v>
      </c>
      <c r="X13" s="332"/>
      <c r="Y13" s="332"/>
    </row>
    <row r="14" spans="1:25" x14ac:dyDescent="0.25">
      <c r="A14" s="290">
        <v>6</v>
      </c>
      <c r="B14" s="24" t="str">
        <f>Planilha!C43</f>
        <v>CONSTRUÇÃO DA LANCHONETE E SANITÁRIO PCD</v>
      </c>
      <c r="C14" s="36">
        <f>Resumo!C13</f>
        <v>128700.27000000002</v>
      </c>
      <c r="D14" s="324">
        <f t="shared" si="0"/>
        <v>0.42901039543008551</v>
      </c>
      <c r="E14" s="305">
        <f>F14*$C$14</f>
        <v>0</v>
      </c>
      <c r="F14" s="8"/>
      <c r="G14" s="291">
        <f t="shared" si="1"/>
        <v>0</v>
      </c>
      <c r="H14" s="316">
        <f>I14*$C$14</f>
        <v>19305.040500000003</v>
      </c>
      <c r="I14" s="8">
        <v>0.15</v>
      </c>
      <c r="J14" s="301">
        <f t="shared" si="2"/>
        <v>0.15</v>
      </c>
      <c r="K14" s="305">
        <f>L14*$C$14</f>
        <v>6435.0135000000009</v>
      </c>
      <c r="L14" s="8">
        <v>0.05</v>
      </c>
      <c r="M14" s="291">
        <f t="shared" si="3"/>
        <v>0.2</v>
      </c>
      <c r="N14" s="316">
        <f>O14*$C$14</f>
        <v>25740.054000000004</v>
      </c>
      <c r="O14" s="8">
        <v>0.2</v>
      </c>
      <c r="P14" s="301">
        <f t="shared" si="4"/>
        <v>0.4</v>
      </c>
      <c r="Q14" s="305">
        <f>R14*$C$14</f>
        <v>32175.067500000005</v>
      </c>
      <c r="R14" s="8">
        <v>0.25</v>
      </c>
      <c r="S14" s="291">
        <f t="shared" si="5"/>
        <v>0.65</v>
      </c>
      <c r="T14" s="305">
        <f>U14*$C$14</f>
        <v>45045.094500000007</v>
      </c>
      <c r="U14" s="8">
        <v>0.35</v>
      </c>
      <c r="V14" s="291">
        <f t="shared" si="6"/>
        <v>1</v>
      </c>
      <c r="X14" s="332"/>
      <c r="Y14" s="332"/>
    </row>
    <row r="15" spans="1:25" x14ac:dyDescent="0.25">
      <c r="A15" s="290">
        <v>7</v>
      </c>
      <c r="B15" s="24" t="str">
        <f>Planilha!C159</f>
        <v>CERCAMENTO DA ÁREA DO BALNEÁRIO</v>
      </c>
      <c r="C15" s="36">
        <f>Resumo!C14</f>
        <v>36306.06</v>
      </c>
      <c r="D15" s="324">
        <f t="shared" si="0"/>
        <v>0.12102287863971387</v>
      </c>
      <c r="E15" s="305">
        <f>F15*$C$15</f>
        <v>0</v>
      </c>
      <c r="F15" s="8"/>
      <c r="G15" s="291">
        <f t="shared" si="1"/>
        <v>0</v>
      </c>
      <c r="H15" s="316">
        <f>I15*$C$15</f>
        <v>1815.3029999999999</v>
      </c>
      <c r="I15" s="8">
        <v>0.05</v>
      </c>
      <c r="J15" s="301">
        <f t="shared" si="2"/>
        <v>0.05</v>
      </c>
      <c r="K15" s="305">
        <f>L15*$C$15</f>
        <v>5445.9089999999997</v>
      </c>
      <c r="L15" s="8">
        <v>0.15</v>
      </c>
      <c r="M15" s="291">
        <f t="shared" si="3"/>
        <v>0.2</v>
      </c>
      <c r="N15" s="316">
        <f>O15*$C$15</f>
        <v>9076.5149999999994</v>
      </c>
      <c r="O15" s="8">
        <v>0.25</v>
      </c>
      <c r="P15" s="301">
        <f t="shared" si="4"/>
        <v>0.45</v>
      </c>
      <c r="Q15" s="305">
        <f>R15*$C$15</f>
        <v>9076.5149999999994</v>
      </c>
      <c r="R15" s="8">
        <v>0.25</v>
      </c>
      <c r="S15" s="291">
        <f t="shared" si="5"/>
        <v>0.7</v>
      </c>
      <c r="T15" s="305">
        <f>U15*$C$15</f>
        <v>10891.817999999999</v>
      </c>
      <c r="U15" s="8">
        <v>0.3</v>
      </c>
      <c r="V15" s="291">
        <f t="shared" si="6"/>
        <v>1</v>
      </c>
      <c r="X15" s="332"/>
      <c r="Y15" s="332"/>
    </row>
    <row r="16" spans="1:25" x14ac:dyDescent="0.25">
      <c r="A16" s="290"/>
      <c r="B16" s="24"/>
      <c r="C16" s="24"/>
      <c r="D16" s="325"/>
      <c r="E16" s="305"/>
      <c r="F16" s="8"/>
      <c r="G16" s="291"/>
      <c r="H16" s="316"/>
      <c r="I16" s="8"/>
      <c r="J16" s="301"/>
      <c r="K16" s="305"/>
      <c r="L16" s="8"/>
      <c r="M16" s="291"/>
      <c r="N16" s="316"/>
      <c r="O16" s="8"/>
      <c r="P16" s="301"/>
      <c r="Q16" s="305"/>
      <c r="R16" s="8"/>
      <c r="S16" s="291"/>
      <c r="T16" s="305"/>
      <c r="U16" s="8"/>
      <c r="V16" s="291"/>
    </row>
    <row r="17" spans="1:22" x14ac:dyDescent="0.25">
      <c r="A17" s="391"/>
      <c r="B17" s="392"/>
      <c r="C17" s="392"/>
      <c r="D17" s="393"/>
      <c r="E17" s="329"/>
      <c r="F17" s="21"/>
      <c r="G17" s="330"/>
      <c r="H17" s="317"/>
      <c r="I17" s="21"/>
      <c r="J17" s="331"/>
      <c r="K17" s="329"/>
      <c r="L17" s="21"/>
      <c r="M17" s="330"/>
      <c r="N17" s="317"/>
      <c r="O17" s="21"/>
      <c r="P17" s="331"/>
      <c r="Q17" s="307"/>
      <c r="R17" s="196"/>
      <c r="S17" s="292"/>
      <c r="T17" s="307"/>
      <c r="U17" s="196"/>
      <c r="V17" s="292"/>
    </row>
    <row r="18" spans="1:22" x14ac:dyDescent="0.25">
      <c r="A18" s="394" t="s">
        <v>124</v>
      </c>
      <c r="B18" s="395"/>
      <c r="C18" s="40">
        <f>SUM(C9:C15)</f>
        <v>299993.36000000004</v>
      </c>
      <c r="D18" s="293">
        <f>SUM(D9:D15)</f>
        <v>0.99999999999999978</v>
      </c>
      <c r="E18" s="308">
        <f>SUM(E9:E15)</f>
        <v>30864.354999999996</v>
      </c>
      <c r="F18" s="170">
        <f>(E9*F9+E10*F10+E11*F11+E12*F12+E13*F13+E14*F14+E15*F15)/$C$18</f>
        <v>5.6729096437334474E-2</v>
      </c>
      <c r="G18" s="293">
        <f>F18</f>
        <v>5.6729096437334474E-2</v>
      </c>
      <c r="H18" s="318">
        <f>SUM(H9:H15)</f>
        <v>59128.978499999997</v>
      </c>
      <c r="I18" s="170">
        <f>(H9*I9+H10*I10+H11*I11+H12*I12+H13*I13+H14*I14+H15*I15)/$C$18</f>
        <v>5.4299680082919147E-2</v>
      </c>
      <c r="J18" s="302">
        <f>I18</f>
        <v>5.4299680082919147E-2</v>
      </c>
      <c r="K18" s="308">
        <f>SUM(K9:K15)</f>
        <v>39029.947499999995</v>
      </c>
      <c r="L18" s="170">
        <f>(K9*L9+K10*L10+K11*L11+K12*L12+K13*L13+K14*L14+K15*L15)/$C$18</f>
        <v>2.6420229017735587E-2</v>
      </c>
      <c r="M18" s="293">
        <f>L18</f>
        <v>2.6420229017735587E-2</v>
      </c>
      <c r="N18" s="318">
        <f>SUM(N9:N15)</f>
        <v>51105.983999999997</v>
      </c>
      <c r="O18" s="170">
        <f>(N9*O9+N10*O10+N11*O11+N12*O12+N13*O13+N14*O14+N15*O15)/$C$18</f>
        <v>3.2869233505701589E-2</v>
      </c>
      <c r="P18" s="302">
        <f>O18</f>
        <v>3.2869233505701589E-2</v>
      </c>
      <c r="Q18" s="308">
        <f>SUM(Q9:Q15)</f>
        <v>54474.390500000009</v>
      </c>
      <c r="R18" s="170">
        <f>(Q9*R9+Q10*R10+Q11*R11+Q12*R12+Q13*R13+Q14*R14+Q15*R15)/$C$18</f>
        <v>3.9572529955329672E-2</v>
      </c>
      <c r="S18" s="293">
        <f>R18</f>
        <v>3.9572529955329672E-2</v>
      </c>
      <c r="T18" s="308">
        <f>SUM(T9:T15)</f>
        <v>65389.704500000007</v>
      </c>
      <c r="U18" s="170">
        <f>(T9*U9+T10*U10+T11*U11+T12*U12+T13*U13+T14*U14+T15*U15)/$C$18</f>
        <v>8.8653835788232091E-2</v>
      </c>
      <c r="V18" s="293">
        <f>U18</f>
        <v>8.8653835788232091E-2</v>
      </c>
    </row>
    <row r="19" spans="1:22" x14ac:dyDescent="0.25">
      <c r="A19" s="394" t="s">
        <v>125</v>
      </c>
      <c r="B19" s="395"/>
      <c r="C19" s="40">
        <v>292500</v>
      </c>
      <c r="D19" s="293">
        <f>C19/C18</f>
        <v>0.97502158047764775</v>
      </c>
      <c r="E19" s="309">
        <f>E18*$D$19</f>
        <v>30093.412192523185</v>
      </c>
      <c r="F19" s="170"/>
      <c r="G19" s="310">
        <f>E19</f>
        <v>30093.412192523185</v>
      </c>
      <c r="H19" s="169">
        <f>H18*$D$19</f>
        <v>57652.030069098852</v>
      </c>
      <c r="I19" s="170"/>
      <c r="J19" s="303">
        <f>H19+G19</f>
        <v>87745.44226162204</v>
      </c>
      <c r="K19" s="309">
        <f>K18*$D$19</f>
        <v>38055.041097409608</v>
      </c>
      <c r="L19" s="170"/>
      <c r="M19" s="310">
        <f>K19+J19</f>
        <v>125800.48335903164</v>
      </c>
      <c r="N19" s="169">
        <f>N18*$D$19</f>
        <v>49829.437291545379</v>
      </c>
      <c r="O19" s="170"/>
      <c r="P19" s="303">
        <f>N19+M19</f>
        <v>175629.92065057703</v>
      </c>
      <c r="Q19" s="309">
        <f>Q18*$D$19</f>
        <v>53113.706320866571</v>
      </c>
      <c r="R19" s="170"/>
      <c r="S19" s="303">
        <f>Q19+P19</f>
        <v>228743.62697144359</v>
      </c>
      <c r="T19" s="309">
        <f>T18*$D$19</f>
        <v>63756.373028556365</v>
      </c>
      <c r="U19" s="170"/>
      <c r="V19" s="310">
        <f>T19+S19</f>
        <v>292499.99999999994</v>
      </c>
    </row>
    <row r="20" spans="1:22" ht="13.8" thickBot="1" x14ac:dyDescent="0.3">
      <c r="A20" s="396" t="s">
        <v>126</v>
      </c>
      <c r="B20" s="397"/>
      <c r="C20" s="294">
        <f>C18-C19</f>
        <v>7493.3600000000442</v>
      </c>
      <c r="D20" s="296">
        <f>D18-D19</f>
        <v>2.4978419522352024E-2</v>
      </c>
      <c r="E20" s="311">
        <f>E18*$D$20</f>
        <v>770.94280747680318</v>
      </c>
      <c r="F20" s="295"/>
      <c r="G20" s="312">
        <f>E20</f>
        <v>770.94280747680318</v>
      </c>
      <c r="H20" s="319">
        <f>H18*$D$20</f>
        <v>1476.948430901133</v>
      </c>
      <c r="I20" s="295"/>
      <c r="J20" s="304">
        <f>H20+G20</f>
        <v>2247.8912383779361</v>
      </c>
      <c r="K20" s="311">
        <f>K18*$D$20</f>
        <v>974.90640259037446</v>
      </c>
      <c r="L20" s="295"/>
      <c r="M20" s="312">
        <f>K20+J20</f>
        <v>3222.7976409683106</v>
      </c>
      <c r="N20" s="319">
        <f>N18*$D$20</f>
        <v>1276.5467084546101</v>
      </c>
      <c r="O20" s="295"/>
      <c r="P20" s="304">
        <f>N20+M20</f>
        <v>4499.3443494229205</v>
      </c>
      <c r="Q20" s="311">
        <f>Q18*$D$20</f>
        <v>1360.684179133428</v>
      </c>
      <c r="R20" s="295"/>
      <c r="S20" s="304">
        <f>Q20+P20</f>
        <v>5860.0285285563486</v>
      </c>
      <c r="T20" s="311">
        <f>T18*$D$20</f>
        <v>1633.3314714436301</v>
      </c>
      <c r="U20" s="295"/>
      <c r="V20" s="312">
        <f>T20+S20</f>
        <v>7493.3599999999788</v>
      </c>
    </row>
    <row r="22" spans="1:22" x14ac:dyDescent="0.25">
      <c r="A22" s="381" t="s">
        <v>450</v>
      </c>
      <c r="B22" s="381"/>
      <c r="C22" s="381"/>
      <c r="D22" s="381"/>
      <c r="E22" s="381"/>
      <c r="F22" s="381"/>
      <c r="G22" s="381"/>
      <c r="H22" s="381"/>
      <c r="I22" s="381"/>
      <c r="J22" s="381"/>
      <c r="K22" s="381"/>
      <c r="L22" s="381"/>
      <c r="M22" s="381"/>
      <c r="N22" s="381"/>
      <c r="V22" s="332"/>
    </row>
    <row r="23" spans="1:22" x14ac:dyDescent="0.25">
      <c r="A23" s="10"/>
      <c r="B23" s="11"/>
      <c r="C23" s="11"/>
      <c r="D23" s="12"/>
      <c r="E23" s="10"/>
      <c r="F23" s="10"/>
      <c r="G23" s="10"/>
      <c r="H23" s="11"/>
      <c r="I23" s="11"/>
      <c r="J23" s="11"/>
      <c r="K23" s="27"/>
      <c r="L23" s="27"/>
      <c r="M23" s="27"/>
      <c r="N23" s="12"/>
      <c r="V23" s="332"/>
    </row>
    <row r="24" spans="1:22" x14ac:dyDescent="0.25">
      <c r="A24" s="10"/>
      <c r="B24" s="11"/>
      <c r="C24" s="11"/>
      <c r="D24" s="12"/>
      <c r="E24" s="10"/>
      <c r="F24" s="10"/>
      <c r="G24" s="10"/>
      <c r="H24" s="11"/>
      <c r="I24" s="11"/>
      <c r="J24" s="11"/>
      <c r="K24" s="27"/>
      <c r="L24" s="27"/>
      <c r="M24" s="27"/>
      <c r="N24" s="12"/>
      <c r="V24" s="332"/>
    </row>
    <row r="25" spans="1:22" x14ac:dyDescent="0.25">
      <c r="A25" s="10"/>
      <c r="B25" s="11"/>
      <c r="C25" s="11"/>
      <c r="D25" s="12"/>
      <c r="E25" s="10"/>
      <c r="F25" s="10"/>
      <c r="G25" s="10"/>
      <c r="H25" s="11"/>
      <c r="I25" s="11"/>
      <c r="J25" s="11"/>
      <c r="K25" s="27"/>
      <c r="L25" s="27"/>
      <c r="M25" s="27"/>
      <c r="N25" s="12"/>
      <c r="V25" s="332"/>
    </row>
    <row r="26" spans="1:22" x14ac:dyDescent="0.25">
      <c r="A26" s="10"/>
      <c r="B26" s="11"/>
      <c r="C26" s="11"/>
      <c r="D26" s="12"/>
      <c r="E26" s="10"/>
      <c r="F26" s="10"/>
      <c r="G26" s="10"/>
      <c r="H26" s="11"/>
      <c r="I26" s="11"/>
      <c r="J26" s="11"/>
      <c r="K26" s="27"/>
      <c r="L26" s="27"/>
      <c r="M26" s="27"/>
      <c r="N26" s="12"/>
      <c r="V26" s="332"/>
    </row>
    <row r="27" spans="1:22" x14ac:dyDescent="0.25">
      <c r="A27" s="10"/>
      <c r="B27" s="11"/>
      <c r="C27" s="11"/>
      <c r="D27" s="12"/>
      <c r="E27" s="10"/>
      <c r="F27" s="10"/>
      <c r="G27" s="10"/>
      <c r="H27" s="11"/>
      <c r="I27" s="11"/>
      <c r="J27" s="11"/>
      <c r="K27" s="27"/>
      <c r="L27" s="27"/>
      <c r="M27" s="27"/>
      <c r="N27" s="12"/>
    </row>
    <row r="28" spans="1:22" x14ac:dyDescent="0.25">
      <c r="A28" s="10"/>
      <c r="B28" s="11" t="str">
        <f>Planilha!C171</f>
        <v>Engº Thiago Sanches Alves Corrêa</v>
      </c>
      <c r="C28" s="11"/>
      <c r="D28" s="12"/>
      <c r="E28" s="10"/>
      <c r="F28" s="10"/>
      <c r="G28" s="10"/>
      <c r="H28" s="11"/>
      <c r="I28" s="11"/>
      <c r="J28" s="11"/>
      <c r="K28" s="27"/>
      <c r="L28" s="27"/>
      <c r="M28" s="27"/>
      <c r="N28" s="12"/>
    </row>
    <row r="29" spans="1:22" x14ac:dyDescent="0.25">
      <c r="A29" s="10"/>
      <c r="B29" s="11" t="str">
        <f>Planilha!C172</f>
        <v>CREA 11.027/D-MS</v>
      </c>
      <c r="C29" s="11"/>
      <c r="D29" s="12"/>
      <c r="E29" s="10"/>
      <c r="F29" s="10"/>
      <c r="G29" s="10"/>
      <c r="H29" s="11"/>
      <c r="I29" s="11"/>
      <c r="J29" s="11"/>
      <c r="K29" s="27"/>
      <c r="L29" s="27"/>
      <c r="M29" s="27"/>
      <c r="N29" s="12"/>
    </row>
    <row r="30" spans="1:22" x14ac:dyDescent="0.25">
      <c r="A30" s="10"/>
      <c r="B30" s="11"/>
      <c r="C30" s="11"/>
      <c r="D30" s="12"/>
      <c r="E30" s="10"/>
      <c r="F30" s="10"/>
      <c r="G30" s="10"/>
      <c r="H30" s="11"/>
      <c r="I30" s="11"/>
      <c r="J30" s="11"/>
      <c r="K30" s="27"/>
      <c r="L30" s="27"/>
      <c r="M30" s="27"/>
      <c r="N30" s="12"/>
    </row>
    <row r="31" spans="1:22" x14ac:dyDescent="0.25">
      <c r="A31" s="23"/>
      <c r="B31" s="29"/>
      <c r="C31" s="29"/>
      <c r="D31" s="23"/>
      <c r="E31" s="29"/>
      <c r="F31" s="29"/>
      <c r="G31" s="29"/>
      <c r="H31" s="29"/>
      <c r="I31" s="29"/>
      <c r="J31" s="29"/>
      <c r="K31" s="27"/>
      <c r="L31" s="27"/>
      <c r="M31" s="27"/>
      <c r="N31" s="29"/>
    </row>
    <row r="32" spans="1:22" ht="12.75" customHeight="1" x14ac:dyDescent="0.25">
      <c r="A32" s="1"/>
      <c r="B32" s="1"/>
      <c r="C32" s="1"/>
      <c r="D32" s="22"/>
      <c r="E32" s="1"/>
      <c r="F32" s="1"/>
      <c r="G32" s="1"/>
      <c r="H32" s="1"/>
      <c r="I32" s="1"/>
      <c r="J32" s="1"/>
      <c r="K32" s="31"/>
      <c r="L32" s="31"/>
      <c r="M32" s="31"/>
      <c r="N32" s="30"/>
    </row>
    <row r="33" spans="1:14" x14ac:dyDescent="0.25">
      <c r="A33" s="23"/>
      <c r="B33" s="1"/>
      <c r="C33" s="1"/>
      <c r="D33" s="23"/>
      <c r="E33" s="29"/>
      <c r="F33" s="29"/>
      <c r="G33" s="29"/>
      <c r="H33" s="29"/>
      <c r="I33" s="29"/>
      <c r="J33" s="29"/>
      <c r="K33" s="31"/>
      <c r="L33" s="27"/>
      <c r="M33" s="27"/>
      <c r="N33" s="29"/>
    </row>
    <row r="36" spans="1:14" x14ac:dyDescent="0.25">
      <c r="D36" s="7"/>
    </row>
    <row r="37" spans="1:14" x14ac:dyDescent="0.25">
      <c r="D37" s="7"/>
    </row>
    <row r="38" spans="1:14" x14ac:dyDescent="0.25">
      <c r="D38" s="7"/>
    </row>
    <row r="39" spans="1:14" x14ac:dyDescent="0.25">
      <c r="D39" s="7"/>
    </row>
    <row r="40" spans="1:14" x14ac:dyDescent="0.25">
      <c r="D40" s="7"/>
    </row>
    <row r="41" spans="1:14" x14ac:dyDescent="0.25">
      <c r="D41" s="7"/>
    </row>
    <row r="42" spans="1:14" x14ac:dyDescent="0.25">
      <c r="D42" s="7"/>
    </row>
    <row r="44" spans="1:14" x14ac:dyDescent="0.25">
      <c r="D44" s="7"/>
    </row>
    <row r="45" spans="1:14" x14ac:dyDescent="0.25">
      <c r="D45" s="7"/>
    </row>
    <row r="46" spans="1:14" x14ac:dyDescent="0.25">
      <c r="D46" s="7"/>
    </row>
    <row r="47" spans="1:14" x14ac:dyDescent="0.25">
      <c r="D47" s="7"/>
    </row>
    <row r="48" spans="1:14" x14ac:dyDescent="0.25">
      <c r="D48" s="7"/>
    </row>
    <row r="49" spans="4:4" x14ac:dyDescent="0.25">
      <c r="D49" s="7"/>
    </row>
    <row r="50" spans="4:4" x14ac:dyDescent="0.25">
      <c r="D50" s="7"/>
    </row>
    <row r="51" spans="4:4" x14ac:dyDescent="0.25">
      <c r="D51" s="7"/>
    </row>
    <row r="52" spans="4:4" x14ac:dyDescent="0.25">
      <c r="D52" s="7"/>
    </row>
  </sheetData>
  <mergeCells count="18">
    <mergeCell ref="A2:V5"/>
    <mergeCell ref="A6:V6"/>
    <mergeCell ref="A22:G22"/>
    <mergeCell ref="Q7:S7"/>
    <mergeCell ref="T7:V7"/>
    <mergeCell ref="A7:A8"/>
    <mergeCell ref="B7:B8"/>
    <mergeCell ref="D7:D8"/>
    <mergeCell ref="H22:N22"/>
    <mergeCell ref="A17:D17"/>
    <mergeCell ref="E7:G7"/>
    <mergeCell ref="H7:J7"/>
    <mergeCell ref="K7:M7"/>
    <mergeCell ref="N7:P7"/>
    <mergeCell ref="A18:B18"/>
    <mergeCell ref="A19:B19"/>
    <mergeCell ref="A20:B20"/>
    <mergeCell ref="C7:C8"/>
  </mergeCells>
  <conditionalFormatting sqref="D23:D30">
    <cfRule type="cellIs" dxfId="1" priority="3" stopIfTrue="1" operator="equal">
      <formula>0</formula>
    </cfRule>
  </conditionalFormatting>
  <conditionalFormatting sqref="N23:N30">
    <cfRule type="cellIs" dxfId="0" priority="1" stopIfTrue="1" operator="equal">
      <formula>0</formula>
    </cfRule>
  </conditionalFormatting>
  <printOptions horizontalCentered="1"/>
  <pageMargins left="0.19685039370078741" right="0.19685039370078741" top="0.78740157480314965" bottom="0.19685039370078741" header="0" footer="0"/>
  <pageSetup paperSize="9" scale="36" orientation="landscape" r:id="rId1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69"/>
  <sheetViews>
    <sheetView topLeftCell="A148" zoomScaleNormal="100" workbookViewId="0">
      <selection activeCell="D165" sqref="D165"/>
    </sheetView>
  </sheetViews>
  <sheetFormatPr defaultColWidth="9.109375" defaultRowHeight="13.2" x14ac:dyDescent="0.25"/>
  <cols>
    <col min="1" max="1" width="6.88671875" style="7" customWidth="1"/>
    <col min="2" max="2" width="77.109375" style="47" customWidth="1"/>
    <col min="3" max="3" width="9.109375" style="7" bestFit="1" customWidth="1"/>
    <col min="4" max="4" width="13.6640625" style="37" customWidth="1"/>
    <col min="5" max="5" width="75.6640625" style="47" customWidth="1"/>
    <col min="6" max="16384" width="9.109375" style="7"/>
  </cols>
  <sheetData>
    <row r="1" spans="1:5" ht="39.6" x14ac:dyDescent="0.25">
      <c r="A1" s="33"/>
      <c r="B1" s="34" t="s">
        <v>21</v>
      </c>
      <c r="C1" s="34"/>
      <c r="D1" s="35"/>
      <c r="E1" s="191"/>
    </row>
    <row r="2" spans="1:5" ht="12.75" customHeight="1" x14ac:dyDescent="0.25">
      <c r="A2" s="412" t="s">
        <v>30</v>
      </c>
      <c r="B2" s="401"/>
      <c r="C2" s="401"/>
      <c r="D2" s="401"/>
      <c r="E2" s="192"/>
    </row>
    <row r="3" spans="1:5" x14ac:dyDescent="0.25">
      <c r="A3" s="412"/>
      <c r="B3" s="401"/>
      <c r="C3" s="401"/>
      <c r="D3" s="401"/>
      <c r="E3" s="192"/>
    </row>
    <row r="4" spans="1:5" x14ac:dyDescent="0.25">
      <c r="A4" s="412"/>
      <c r="B4" s="401"/>
      <c r="C4" s="401"/>
      <c r="D4" s="401"/>
      <c r="E4" s="192"/>
    </row>
    <row r="5" spans="1:5" ht="13.8" thickBot="1" x14ac:dyDescent="0.3">
      <c r="A5" s="413"/>
      <c r="B5" s="414"/>
      <c r="C5" s="414"/>
      <c r="D5" s="414"/>
      <c r="E5" s="193"/>
    </row>
    <row r="6" spans="1:5" ht="12.75" customHeight="1" x14ac:dyDescent="0.25">
      <c r="A6" s="405" t="s">
        <v>71</v>
      </c>
      <c r="B6" s="406"/>
      <c r="C6" s="406"/>
      <c r="D6" s="406"/>
      <c r="E6" s="407"/>
    </row>
    <row r="7" spans="1:5" x14ac:dyDescent="0.25">
      <c r="A7" s="415" t="s">
        <v>0</v>
      </c>
      <c r="B7" s="358" t="s">
        <v>2</v>
      </c>
      <c r="C7" s="358" t="s">
        <v>3</v>
      </c>
      <c r="D7" s="408" t="s">
        <v>4</v>
      </c>
      <c r="E7" s="410" t="s">
        <v>4</v>
      </c>
    </row>
    <row r="8" spans="1:5" ht="13.8" thickBot="1" x14ac:dyDescent="0.3">
      <c r="A8" s="416"/>
      <c r="B8" s="417"/>
      <c r="C8" s="417"/>
      <c r="D8" s="409"/>
      <c r="E8" s="411"/>
    </row>
    <row r="9" spans="1:5" s="41" customFormat="1" x14ac:dyDescent="0.25">
      <c r="A9" s="284" t="s">
        <v>178</v>
      </c>
      <c r="B9" s="285" t="str">
        <f>Planilha!C10</f>
        <v>SERVIÇOS GERAIS DE CANTEIRO</v>
      </c>
      <c r="C9" s="286"/>
      <c r="D9" s="287"/>
      <c r="E9" s="288"/>
    </row>
    <row r="10" spans="1:5" s="41" customFormat="1" x14ac:dyDescent="0.25">
      <c r="A10" s="42" t="str">
        <f>Planilha!A11</f>
        <v>1.1</v>
      </c>
      <c r="B10" s="59" t="str">
        <f>Planilha!C11</f>
        <v>PLACA DE OBRA EM CHAPA DE AÇO GALVANIZADA</v>
      </c>
      <c r="C10" s="43" t="str">
        <f>Planilha!D11</f>
        <v>M2</v>
      </c>
      <c r="D10" s="45">
        <f>Planilha!E11</f>
        <v>8</v>
      </c>
      <c r="E10" s="171" t="s">
        <v>72</v>
      </c>
    </row>
    <row r="11" spans="1:5" s="41" customFormat="1" ht="26.4" x14ac:dyDescent="0.25">
      <c r="A11" s="42" t="str">
        <f>Planilha!A12</f>
        <v>1.2</v>
      </c>
      <c r="B11" s="59" t="str">
        <f>Planilha!C12</f>
        <v>EXECUÇÃO DE ESCRITÓRIO EM CANTEIRO DE OBRA EM CHAPA DE MADEIRA COMPENSADA, NÃO INCLUSO MOBILIÁRIO E EQUIPAMENTOS.</v>
      </c>
      <c r="C11" s="43" t="str">
        <f>Planilha!D12</f>
        <v>M2</v>
      </c>
      <c r="D11" s="45">
        <f>Planilha!E12</f>
        <v>10</v>
      </c>
      <c r="E11" s="171" t="s">
        <v>447</v>
      </c>
    </row>
    <row r="12" spans="1:5" s="41" customFormat="1" x14ac:dyDescent="0.25">
      <c r="A12" s="42"/>
      <c r="B12" s="46"/>
      <c r="C12" s="43"/>
      <c r="D12" s="45"/>
      <c r="E12" s="171"/>
    </row>
    <row r="13" spans="1:5" s="41" customFormat="1" x14ac:dyDescent="0.25">
      <c r="A13" s="178" t="s">
        <v>179</v>
      </c>
      <c r="B13" s="50" t="s">
        <v>37</v>
      </c>
      <c r="C13" s="51"/>
      <c r="D13" s="52"/>
      <c r="E13" s="177"/>
    </row>
    <row r="14" spans="1:5" s="41" customFormat="1" x14ac:dyDescent="0.25">
      <c r="A14" s="42" t="s">
        <v>8</v>
      </c>
      <c r="B14" s="44" t="s">
        <v>38</v>
      </c>
      <c r="C14" s="43" t="s">
        <v>61</v>
      </c>
      <c r="D14" s="45">
        <v>1</v>
      </c>
      <c r="E14" s="171" t="s">
        <v>73</v>
      </c>
    </row>
    <row r="15" spans="1:5" s="41" customFormat="1" x14ac:dyDescent="0.25">
      <c r="A15" s="42"/>
      <c r="B15" s="46"/>
      <c r="C15" s="43"/>
      <c r="D15" s="45"/>
      <c r="E15" s="171"/>
    </row>
    <row r="16" spans="1:5" s="41" customFormat="1" x14ac:dyDescent="0.25">
      <c r="A16" s="178" t="str">
        <f>Planilha!A17</f>
        <v>3.0</v>
      </c>
      <c r="B16" s="50" t="str">
        <f>Planilha!C17</f>
        <v>REVITALIZALÇÃO DA QUADRA DE AREIA</v>
      </c>
      <c r="C16" s="51"/>
      <c r="D16" s="52"/>
      <c r="E16" s="177"/>
    </row>
    <row r="17" spans="1:5" s="56" customFormat="1" x14ac:dyDescent="0.25">
      <c r="A17" s="57"/>
      <c r="B17" s="58" t="str">
        <f>Planilha!C18</f>
        <v>PROTEÇÃO COM TELA</v>
      </c>
      <c r="C17" s="54"/>
      <c r="D17" s="55"/>
      <c r="E17" s="179"/>
    </row>
    <row r="18" spans="1:5" s="56" customFormat="1" ht="39.6" x14ac:dyDescent="0.25">
      <c r="A18" s="53" t="str">
        <f>Planilha!A19</f>
        <v>3.1</v>
      </c>
      <c r="B18" s="59" t="str">
        <f>Planilha!C19</f>
        <v>ALAMBRADO PARA QUADRA POLIESPORTIVA, ESTRUTURADO POR TUBOS DE ACO GALVANIZADO, COM COSTURA, DIN 2440, DIAMETRO 2", COM TELA DE ARAME GALVANIZADO, FIO 14 BWG E MALHA QUADRADA 5X5CM</v>
      </c>
      <c r="C18" s="54" t="str">
        <f>Planilha!D19</f>
        <v>M2</v>
      </c>
      <c r="D18" s="55">
        <f>Planilha!E19</f>
        <v>347.87</v>
      </c>
      <c r="E18" s="179" t="s">
        <v>171</v>
      </c>
    </row>
    <row r="19" spans="1:5" s="56" customFormat="1" x14ac:dyDescent="0.25">
      <c r="A19" s="53" t="str">
        <f>Planilha!A20</f>
        <v>3.2</v>
      </c>
      <c r="B19" s="59" t="str">
        <f>Planilha!C20</f>
        <v>MEIO-FIO COM SARJETA, CONCRETO FCK=20MPA, SEÇÃO 615 CM2</v>
      </c>
      <c r="C19" s="54" t="str">
        <f>Planilha!D20</f>
        <v>M</v>
      </c>
      <c r="D19" s="55">
        <f>Planilha!E20</f>
        <v>140</v>
      </c>
      <c r="E19" s="179" t="s">
        <v>170</v>
      </c>
    </row>
    <row r="20" spans="1:5" s="56" customFormat="1" x14ac:dyDescent="0.25">
      <c r="A20" s="53" t="str">
        <f>Planilha!A21</f>
        <v>3.3</v>
      </c>
      <c r="B20" s="59" t="str">
        <f>Planilha!C21</f>
        <v>AREIA LAVADA</v>
      </c>
      <c r="C20" s="54" t="str">
        <f>Planilha!D21</f>
        <v>M3</v>
      </c>
      <c r="D20" s="55">
        <f>Planilha!E21</f>
        <v>168.75</v>
      </c>
      <c r="E20" s="179" t="s">
        <v>172</v>
      </c>
    </row>
    <row r="21" spans="1:5" s="56" customFormat="1" ht="26.4" x14ac:dyDescent="0.25">
      <c r="A21" s="53" t="str">
        <f>Planilha!A22</f>
        <v>3.4</v>
      </c>
      <c r="B21" s="59" t="str">
        <f>Planilha!C22</f>
        <v>TRANSPORTE COM CAMINHÃO BASCULANTE 10 M3 DE MASSA ASFALTICA PARA PAVIMENTAÇÃO URBANA - DMT 10 KM (Rochedo até Corguinho)</v>
      </c>
      <c r="C21" s="54" t="str">
        <f>Planilha!D22</f>
        <v>M3XKM</v>
      </c>
      <c r="D21" s="55">
        <f>Planilha!E22</f>
        <v>2531.25</v>
      </c>
      <c r="E21" s="179" t="s">
        <v>144</v>
      </c>
    </row>
    <row r="22" spans="1:5" s="56" customFormat="1" ht="39.6" x14ac:dyDescent="0.25">
      <c r="A22" s="53" t="str">
        <f>Planilha!A23</f>
        <v>3.5</v>
      </c>
      <c r="B22" s="59" t="str">
        <f>Planilha!C23</f>
        <v>ESTACA ESCAVADA MECANICAMENTE, SEM FLUIDO ESTABILIZANTE, COM 25 CM DEDIÂMETRO, ATÉ 9 M DE COMPRIMENTO, CONCRETO LANÇADO POR CAMINHÃO BETONEIRA (EXCLUSIVE MOBILIZAÇÃO E DESMOBILIZAÇÃO)</v>
      </c>
      <c r="C22" s="54" t="str">
        <f>Planilha!D23</f>
        <v>M</v>
      </c>
      <c r="D22" s="55">
        <f>47*2</f>
        <v>94</v>
      </c>
      <c r="E22" s="179" t="s">
        <v>173</v>
      </c>
    </row>
    <row r="23" spans="1:5" s="56" customFormat="1" ht="26.4" x14ac:dyDescent="0.25">
      <c r="A23" s="53" t="str">
        <f>Planilha!A24</f>
        <v>3.6</v>
      </c>
      <c r="B23" s="59" t="str">
        <f>Planilha!C24</f>
        <v>ARMAÇÃO DE BLOCO, VIGA BALDRAME OU SAPATA UTILIZANDO AÇO CA-50 DE 8 MM - MONTAGEM.</v>
      </c>
      <c r="C23" s="54" t="str">
        <f>Planilha!D24</f>
        <v>KG</v>
      </c>
      <c r="D23" s="55">
        <f>47*2*4*0.395</f>
        <v>148.52000000000001</v>
      </c>
      <c r="E23" s="179" t="s">
        <v>186</v>
      </c>
    </row>
    <row r="24" spans="1:5" s="56" customFormat="1" ht="26.4" x14ac:dyDescent="0.25">
      <c r="A24" s="53" t="str">
        <f>Planilha!A25</f>
        <v>3.7</v>
      </c>
      <c r="B24" s="59" t="str">
        <f>Planilha!C25</f>
        <v>ARMAÇÃO DE BLOCO, VIGA BALDRAME E SAPATA UTILIZANDO AÇO CA-60 DE 5 MM - MONTAGEM</v>
      </c>
      <c r="C24" s="54" t="str">
        <f>Planilha!D25</f>
        <v>KG</v>
      </c>
      <c r="D24" s="55">
        <f>0.2*47*0.154*10</f>
        <v>14.475999999999999</v>
      </c>
      <c r="E24" s="179" t="s">
        <v>187</v>
      </c>
    </row>
    <row r="25" spans="1:5" s="56" customFormat="1" x14ac:dyDescent="0.25">
      <c r="A25" s="53" t="str">
        <f>Planilha!A26</f>
        <v>3.8</v>
      </c>
      <c r="B25" s="59" t="str">
        <f>Planilha!C26</f>
        <v>PORTAO DE FERRO EM CHAPA GALVANIZADA PLANA 14 GSG</v>
      </c>
      <c r="C25" s="54" t="str">
        <f>Planilha!D26</f>
        <v>M2</v>
      </c>
      <c r="D25" s="55">
        <v>10</v>
      </c>
      <c r="E25" s="179" t="s">
        <v>455</v>
      </c>
    </row>
    <row r="26" spans="1:5" s="56" customFormat="1" x14ac:dyDescent="0.25">
      <c r="A26" s="53"/>
      <c r="B26" s="59"/>
      <c r="C26" s="54"/>
      <c r="D26" s="55"/>
      <c r="E26" s="179"/>
    </row>
    <row r="27" spans="1:5" s="41" customFormat="1" x14ac:dyDescent="0.25">
      <c r="A27" s="178" t="str">
        <f>Planilha!A28</f>
        <v>4.0</v>
      </c>
      <c r="B27" s="50" t="str">
        <f>Planilha!C28</f>
        <v>PISTA DE CAMINHADA</v>
      </c>
      <c r="C27" s="51"/>
      <c r="D27" s="52"/>
      <c r="E27" s="177"/>
    </row>
    <row r="28" spans="1:5" s="56" customFormat="1" ht="26.4" x14ac:dyDescent="0.25">
      <c r="A28" s="53" t="str">
        <f>Planilha!A29</f>
        <v>4.1</v>
      </c>
      <c r="B28" s="59" t="str">
        <f>Planilha!C29</f>
        <v>PREPARO MANUAL DE TERRENO S/ RASPAGEM SUPERFICIAL</v>
      </c>
      <c r="C28" s="54" t="str">
        <f>Planilha!D29</f>
        <v>M2</v>
      </c>
      <c r="D28" s="55">
        <f>70.01*(3.5)+2*3.14*3.6*2+35.43*2+25.59*2</f>
        <v>412.29100000000005</v>
      </c>
      <c r="E28" s="179" t="s">
        <v>461</v>
      </c>
    </row>
    <row r="29" spans="1:5" s="56" customFormat="1" x14ac:dyDescent="0.25">
      <c r="A29" s="53" t="str">
        <f>Planilha!A30</f>
        <v>4.2</v>
      </c>
      <c r="B29" s="59" t="str">
        <f>Planilha!C30</f>
        <v>REGULARIZACAO DE SUPERFICIES EM TERRA COM MOTONIVELADORA</v>
      </c>
      <c r="C29" s="54" t="str">
        <f>Planilha!D30</f>
        <v>M2</v>
      </c>
      <c r="D29" s="55">
        <f>D28</f>
        <v>412.29100000000005</v>
      </c>
      <c r="E29" s="179" t="s">
        <v>462</v>
      </c>
    </row>
    <row r="30" spans="1:5" s="56" customFormat="1" ht="26.4" x14ac:dyDescent="0.25">
      <c r="A30" s="53" t="str">
        <f>Planilha!A31</f>
        <v>4.3</v>
      </c>
      <c r="B30" s="59" t="str">
        <f>Planilha!C31</f>
        <v>EXECUÇÃO DE PASSEIO (CALÇADA) OU PISO DE CONCRETO COM CONCRETO MOLDADO IN LOCO, USINADO, ACABAMENTO CONVENCIONAL, NÃO ARMADO.</v>
      </c>
      <c r="C30" s="54" t="str">
        <f>Planilha!D31</f>
        <v>M3</v>
      </c>
      <c r="D30" s="55">
        <f>D29*0.07</f>
        <v>28.860370000000007</v>
      </c>
      <c r="E30" s="179" t="s">
        <v>188</v>
      </c>
    </row>
    <row r="31" spans="1:5" s="56" customFormat="1" ht="26.4" x14ac:dyDescent="0.25">
      <c r="A31" s="53" t="str">
        <f>Planilha!A32</f>
        <v>4.4</v>
      </c>
      <c r="B31" s="59" t="str">
        <f>Planilha!C32</f>
        <v>GUIA (MEIO-FIO) CONCRETO, MOLDADA IN LOCO EM TRECHO RETO COM EXTRUSORA, 11,5 CM BASE X 22 CM ALTURA.</v>
      </c>
      <c r="C31" s="54" t="str">
        <f>Planilha!D32</f>
        <v>M</v>
      </c>
      <c r="D31" s="55">
        <f>70*2+2.6*2*3.14*2+35.43*2+25.59*2</f>
        <v>294.69600000000003</v>
      </c>
      <c r="E31" s="179" t="s">
        <v>463</v>
      </c>
    </row>
    <row r="32" spans="1:5" s="56" customFormat="1" x14ac:dyDescent="0.25">
      <c r="A32" s="53" t="str">
        <f>Planilha!A33</f>
        <v>4.5</v>
      </c>
      <c r="B32" s="59" t="str">
        <f>Planilha!C33</f>
        <v>PLACA DE SINALIZAÇÃO</v>
      </c>
      <c r="C32" s="54" t="str">
        <f>Planilha!D33</f>
        <v>UNIDADE</v>
      </c>
      <c r="D32" s="55">
        <v>16</v>
      </c>
      <c r="E32" s="179" t="s">
        <v>546</v>
      </c>
    </row>
    <row r="33" spans="1:5" s="56" customFormat="1" x14ac:dyDescent="0.25">
      <c r="A33" s="53" t="str">
        <f>Planilha!A34</f>
        <v>4.6</v>
      </c>
      <c r="B33" s="59" t="str">
        <f>Planilha!C34</f>
        <v>BANCO E MESA DE CONCRETO</v>
      </c>
      <c r="C33" s="54" t="str">
        <f>Planilha!D34</f>
        <v>UNIDADE</v>
      </c>
      <c r="D33" s="55">
        <v>6</v>
      </c>
      <c r="E33" s="179" t="s">
        <v>550</v>
      </c>
    </row>
    <row r="34" spans="1:5" s="56" customFormat="1" x14ac:dyDescent="0.25">
      <c r="A34" s="53"/>
      <c r="B34" s="59"/>
      <c r="C34" s="54"/>
      <c r="D34" s="55"/>
      <c r="E34" s="179"/>
    </row>
    <row r="35" spans="1:5" s="41" customFormat="1" x14ac:dyDescent="0.25">
      <c r="A35" s="178" t="str">
        <f>Planilha!A36</f>
        <v>5.0</v>
      </c>
      <c r="B35" s="50" t="str">
        <f>Planilha!C36</f>
        <v xml:space="preserve">APARELHOS EM EUCALÍPTO TRATADO (ACADEMIA E PARQUE INFANTIL): </v>
      </c>
      <c r="C35" s="51"/>
      <c r="D35" s="52"/>
      <c r="E35" s="177"/>
    </row>
    <row r="36" spans="1:5" s="56" customFormat="1" x14ac:dyDescent="0.25">
      <c r="A36" s="53" t="str">
        <f>Planilha!A37</f>
        <v>5.1</v>
      </c>
      <c r="B36" s="59" t="str">
        <f>Planilha!C37</f>
        <v>PRANCHAS PARA ABDOMINAL</v>
      </c>
      <c r="C36" s="54" t="str">
        <f>Planilha!D37</f>
        <v>CJ</v>
      </c>
      <c r="D36" s="54">
        <f>Planilha!E37</f>
        <v>1</v>
      </c>
      <c r="E36" s="179" t="s">
        <v>146</v>
      </c>
    </row>
    <row r="37" spans="1:5" s="56" customFormat="1" x14ac:dyDescent="0.25">
      <c r="A37" s="53" t="str">
        <f>Planilha!A38</f>
        <v>5.2</v>
      </c>
      <c r="B37" s="59" t="str">
        <f>Planilha!C38</f>
        <v>BARRAS HORIZONTAIS PARA ALONGAMENTO</v>
      </c>
      <c r="C37" s="54" t="str">
        <f>Planilha!D38</f>
        <v>CJ</v>
      </c>
      <c r="D37" s="54">
        <f>Planilha!E38</f>
        <v>1</v>
      </c>
      <c r="E37" s="179" t="s">
        <v>146</v>
      </c>
    </row>
    <row r="38" spans="1:5" s="56" customFormat="1" x14ac:dyDescent="0.25">
      <c r="A38" s="53" t="str">
        <f>Planilha!A39</f>
        <v>5.3</v>
      </c>
      <c r="B38" s="59" t="str">
        <f>Planilha!C39</f>
        <v>EQUIPAMENTOS COM BARRA  PARALELA</v>
      </c>
      <c r="C38" s="54" t="str">
        <f>Planilha!D39</f>
        <v>CJ</v>
      </c>
      <c r="D38" s="54">
        <f>Planilha!E39</f>
        <v>1</v>
      </c>
      <c r="E38" s="179" t="s">
        <v>146</v>
      </c>
    </row>
    <row r="39" spans="1:5" s="56" customFormat="1" x14ac:dyDescent="0.25">
      <c r="A39" s="53" t="str">
        <f>Planilha!A40</f>
        <v>5.4</v>
      </c>
      <c r="B39" s="59" t="str">
        <f>Planilha!C40</f>
        <v xml:space="preserve">FORNECIMENTO E COLOCAÇÃO DE BALANÇO PARA TRÊS LUGARES </v>
      </c>
      <c r="C39" s="54" t="str">
        <f>Planilha!D40</f>
        <v>CJ</v>
      </c>
      <c r="D39" s="54">
        <f>Planilha!E40</f>
        <v>1</v>
      </c>
      <c r="E39" s="179" t="s">
        <v>146</v>
      </c>
    </row>
    <row r="40" spans="1:5" s="56" customFormat="1" x14ac:dyDescent="0.25">
      <c r="A40" s="53" t="str">
        <f>Planilha!A41</f>
        <v>5.6</v>
      </c>
      <c r="B40" s="59" t="str">
        <f>Planilha!C41</f>
        <v>FORNECIMENTO E COLOCAÇÃO DE GANGORRA COM UMA PRANCHA</v>
      </c>
      <c r="C40" s="54" t="str">
        <f>Planilha!D41</f>
        <v>CJ</v>
      </c>
      <c r="D40" s="54">
        <f>Planilha!E41</f>
        <v>1</v>
      </c>
      <c r="E40" s="179" t="s">
        <v>146</v>
      </c>
    </row>
    <row r="41" spans="1:5" s="56" customFormat="1" x14ac:dyDescent="0.25">
      <c r="A41" s="53"/>
      <c r="B41" s="59"/>
      <c r="C41" s="54"/>
      <c r="D41" s="55"/>
      <c r="E41" s="179"/>
    </row>
    <row r="42" spans="1:5" s="41" customFormat="1" x14ac:dyDescent="0.25">
      <c r="A42" s="178" t="str">
        <f>Planilha!A43</f>
        <v>6.0</v>
      </c>
      <c r="B42" s="50" t="str">
        <f>Planilha!C43</f>
        <v>CONSTRUÇÃO DA LANCHONETE E SANITÁRIO PCD</v>
      </c>
      <c r="C42" s="51"/>
      <c r="D42" s="52"/>
      <c r="E42" s="177"/>
    </row>
    <row r="43" spans="1:5" s="283" customFormat="1" x14ac:dyDescent="0.25">
      <c r="A43" s="57" t="str">
        <f>Planilha!A44</f>
        <v>6.1</v>
      </c>
      <c r="B43" s="58" t="str">
        <f>Planilha!C44</f>
        <v>SERVIÇOS EM TERRA</v>
      </c>
      <c r="C43" s="280"/>
      <c r="D43" s="281"/>
      <c r="E43" s="282" t="s">
        <v>405</v>
      </c>
    </row>
    <row r="44" spans="1:5" s="56" customFormat="1" ht="26.4" x14ac:dyDescent="0.25">
      <c r="A44" s="53" t="str">
        <f>Planilha!A45</f>
        <v>6.1.1</v>
      </c>
      <c r="B44" s="59" t="str">
        <f>Planilha!C45</f>
        <v>ESCAVACAO MANUAL DE VALA EM MATERIAL DE 1A CATEGORIA DE 1,5 ATE 3M EXCLUINDO ESGOTAMENTO / ESCORAMENTO</v>
      </c>
      <c r="C44" s="54" t="str">
        <f>Planilha!D45</f>
        <v>M³</v>
      </c>
      <c r="D44" s="55">
        <v>9.31</v>
      </c>
      <c r="E44" s="179" t="s">
        <v>409</v>
      </c>
    </row>
    <row r="45" spans="1:5" s="56" customFormat="1" x14ac:dyDescent="0.25">
      <c r="A45" s="53" t="str">
        <f>Planilha!A46</f>
        <v>6.1.2</v>
      </c>
      <c r="B45" s="59" t="str">
        <f>Planilha!C46</f>
        <v>REGULARIZACAO E COMPACTACAO MANUAL DE TERRENO COM SOQUETE</v>
      </c>
      <c r="C45" s="54" t="str">
        <f>Planilha!D46</f>
        <v>M²</v>
      </c>
      <c r="D45" s="55">
        <v>23.28</v>
      </c>
      <c r="E45" s="179" t="s">
        <v>410</v>
      </c>
    </row>
    <row r="46" spans="1:5" s="56" customFormat="1" x14ac:dyDescent="0.25">
      <c r="A46" s="53" t="str">
        <f>Planilha!A47</f>
        <v>6.1.3</v>
      </c>
      <c r="B46" s="59" t="str">
        <f>Planilha!C47</f>
        <v>LASTRO DE BRITA</v>
      </c>
      <c r="C46" s="54" t="str">
        <f>Planilha!D47</f>
        <v>M³</v>
      </c>
      <c r="D46" s="55">
        <v>1.1599999999999999</v>
      </c>
      <c r="E46" s="179" t="s">
        <v>411</v>
      </c>
    </row>
    <row r="47" spans="1:5" s="56" customFormat="1" ht="26.4" x14ac:dyDescent="0.25">
      <c r="A47" s="53" t="str">
        <f>Planilha!A48</f>
        <v>6.1.4</v>
      </c>
      <c r="B47" s="59" t="str">
        <f>Planilha!C48</f>
        <v>COMPACTACAO MECANICA C/ CONTROLE DO GC&gt;=95% DO PN (AREAS) (C/MONONIVELADORA 140 HP E ROLO COMPRESSOR VIBRATORIO 80 HP)</v>
      </c>
      <c r="C47" s="54" t="str">
        <f>Planilha!D48</f>
        <v>M³</v>
      </c>
      <c r="D47" s="55">
        <v>27.44</v>
      </c>
      <c r="E47" s="179" t="s">
        <v>406</v>
      </c>
    </row>
    <row r="48" spans="1:5" s="283" customFormat="1" x14ac:dyDescent="0.25">
      <c r="A48" s="57" t="str">
        <f>Planilha!A49</f>
        <v>6.2</v>
      </c>
      <c r="B48" s="58" t="str">
        <f>Planilha!C49</f>
        <v xml:space="preserve">FUNDAÇÃO </v>
      </c>
      <c r="C48" s="54"/>
      <c r="D48" s="281"/>
      <c r="E48" s="282"/>
    </row>
    <row r="49" spans="1:5" s="56" customFormat="1" ht="39.6" x14ac:dyDescent="0.25">
      <c r="A49" s="53" t="str">
        <f>Planilha!A50</f>
        <v>6.2.1</v>
      </c>
      <c r="B49" s="59" t="str">
        <f>Planilha!C50</f>
        <v>ESTACA ESCAVADA MECANICAMENTE, SEM FLUIDO ESTABILIZANTE, COM 25 CM DEDIÂMETRO, ATÉ 9 M DE COMPRIMENTO, CONCRETO LANÇADO POR CAMINHÃO BETONEIRA (EXCLUSIVE MOBILIZAÇÃO E DESMOBILIZAÇÃO)</v>
      </c>
      <c r="C49" s="54" t="str">
        <f>Planilha!D50</f>
        <v>M</v>
      </c>
      <c r="D49" s="55">
        <f>(8+4)*6</f>
        <v>72</v>
      </c>
      <c r="E49" s="179" t="s">
        <v>408</v>
      </c>
    </row>
    <row r="50" spans="1:5" s="56" customFormat="1" ht="26.4" x14ac:dyDescent="0.25">
      <c r="A50" s="53" t="str">
        <f>Planilha!A51</f>
        <v>6.2.2</v>
      </c>
      <c r="B50" s="59" t="str">
        <f>Planilha!C51</f>
        <v>FORMA PINHO 3A P/CONCRETO EM FUNDACAO REAPROV 2 VEZES - CORTE/MONTAGEM/ESCORAMENTO/DESFORMA</v>
      </c>
      <c r="C50" s="54" t="str">
        <f>Planilha!D51</f>
        <v>M²</v>
      </c>
      <c r="D50" s="55">
        <v>17.71</v>
      </c>
      <c r="E50" s="179" t="s">
        <v>412</v>
      </c>
    </row>
    <row r="51" spans="1:5" s="56" customFormat="1" ht="52.8" x14ac:dyDescent="0.25">
      <c r="A51" s="53" t="str">
        <f>Planilha!A52</f>
        <v>6.2.3</v>
      </c>
      <c r="B51" s="59" t="str">
        <f>Planilha!C52</f>
        <v>ARMAÇÃO DE FUNDAÇÕES E ESTRUTURAS DE CONCRETO ARMADO, EXCETO VIGAS, PILARES E LAJES (DE EDIFÍCIOS DE MÚLTIPLOS PAVIMENTOS, EDIFICAÇÃO TÉRREA OU SOBRADO), UTILIZANDO AÇO CA-60 DE 5.0 MM - MONTAGEM. AF_12/2015</v>
      </c>
      <c r="C51" s="54" t="str">
        <f>Planilha!D52</f>
        <v>KG</v>
      </c>
      <c r="D51" s="55">
        <v>39.909999999999997</v>
      </c>
      <c r="E51" s="179" t="s">
        <v>413</v>
      </c>
    </row>
    <row r="52" spans="1:5" s="56" customFormat="1" ht="26.4" x14ac:dyDescent="0.25">
      <c r="A52" s="53" t="str">
        <f>Planilha!A53</f>
        <v>6.2.4</v>
      </c>
      <c r="B52" s="59" t="str">
        <f>Planilha!C53</f>
        <v>ARMAÇÃO DE ESTRUTURAS DE CONCRETO ARMADO, EXCETO VIGAS, PILARES, LAJES E FUNDAÇÕES, UTILIZANDO AÇO CA-50 DE 8,0 MM - MONTAGEM. AF_12/2015</v>
      </c>
      <c r="C52" s="54" t="str">
        <f>Planilha!D53</f>
        <v>KG</v>
      </c>
      <c r="D52" s="55">
        <v>76.78</v>
      </c>
      <c r="E52" s="179" t="s">
        <v>415</v>
      </c>
    </row>
    <row r="53" spans="1:5" s="56" customFormat="1" ht="26.4" x14ac:dyDescent="0.25">
      <c r="A53" s="53" t="str">
        <f>Planilha!A54</f>
        <v>6.2.5</v>
      </c>
      <c r="B53" s="59" t="str">
        <f>Planilha!C54</f>
        <v>CONCRETO FCK=20MPA, VIRADO EM BETONEIRA, SEM LANCAMENTO</v>
      </c>
      <c r="C53" s="54" t="str">
        <f>Planilha!D54</f>
        <v>M³</v>
      </c>
      <c r="D53" s="55">
        <f>48.6*0.15*0.2</f>
        <v>1.4580000000000002</v>
      </c>
      <c r="E53" s="179" t="s">
        <v>416</v>
      </c>
    </row>
    <row r="54" spans="1:5" s="56" customFormat="1" ht="26.4" x14ac:dyDescent="0.25">
      <c r="A54" s="53" t="str">
        <f>Planilha!A55</f>
        <v>6.2.6</v>
      </c>
      <c r="B54" s="59" t="str">
        <f>Planilha!C55</f>
        <v>LANÇAMENTO COM USO DE BALDES, ADENSAMENTO E ACABAMENTO DE CONCRETO EM ESTRUTURAS.</v>
      </c>
      <c r="C54" s="54" t="str">
        <f>Planilha!D55</f>
        <v>M³</v>
      </c>
      <c r="D54" s="55">
        <f>D53</f>
        <v>1.4580000000000002</v>
      </c>
      <c r="E54" s="179" t="str">
        <f>E53</f>
        <v>PERIMETRO LANCHONETE - 40,00 M + PERIMETRO PCD - 8,60 M = 48,60 METROS X 0,15 M X 0,20 M= 1,46 M³</v>
      </c>
    </row>
    <row r="55" spans="1:5" s="283" customFormat="1" x14ac:dyDescent="0.25">
      <c r="A55" s="57" t="str">
        <f>Planilha!A56</f>
        <v>6.3</v>
      </c>
      <c r="B55" s="58" t="str">
        <f>Planilha!C56</f>
        <v>ESTRUTURA</v>
      </c>
      <c r="C55" s="280"/>
      <c r="D55" s="281"/>
      <c r="E55" s="282"/>
    </row>
    <row r="56" spans="1:5" s="56" customFormat="1" ht="26.4" x14ac:dyDescent="0.25">
      <c r="A56" s="53" t="str">
        <f>Planilha!A57</f>
        <v>6.3.1</v>
      </c>
      <c r="B56" s="59" t="str">
        <f>Planilha!C57</f>
        <v>FABRICAÇÃO DE FÔRMA PARA PILARES E ESTRUTURAS SIMILARES, EM MADEIRA SERRADA, E=25 MM. AF_12/2015</v>
      </c>
      <c r="C56" s="54" t="str">
        <f>Planilha!D57</f>
        <v>M²</v>
      </c>
      <c r="D56" s="55">
        <v>61.65</v>
      </c>
      <c r="E56" s="179" t="s">
        <v>418</v>
      </c>
    </row>
    <row r="57" spans="1:5" s="56" customFormat="1" ht="39.6" x14ac:dyDescent="0.25">
      <c r="A57" s="53" t="str">
        <f>Planilha!A58</f>
        <v>6.3.2</v>
      </c>
      <c r="B57" s="59" t="str">
        <f>Planilha!C58</f>
        <v>ARMAÇÃO DE PILAR OU VIGA DE UMA ESTRUTURA CONVENCIONAL DE CONCRETO ARMADO EM UMA EDIFÍCAÇÃO TÉRREA OU SOBRADO UTILIZANDO AÇO CA-60 DE 5.0 - MONTAGEM. AF_12/2015</v>
      </c>
      <c r="C57" s="54" t="str">
        <f>Planilha!D58</f>
        <v>KG</v>
      </c>
      <c r="D57" s="55">
        <v>11.92</v>
      </c>
      <c r="E57" s="179" t="s">
        <v>419</v>
      </c>
    </row>
    <row r="58" spans="1:5" s="56" customFormat="1" ht="26.4" x14ac:dyDescent="0.25">
      <c r="A58" s="53" t="str">
        <f>Planilha!A59</f>
        <v>6.3.3</v>
      </c>
      <c r="B58" s="59" t="str">
        <f>Planilha!C59</f>
        <v>ARMAÇÃO DE ESTRUTURAS DE CONCRETO ARMADO, EXCETO VIGAS, PILARES, LAJES E FUNDAÇÕES, UTILIZANDO AÇO CA-50 DE 8,0 MM - MONTAGEM. AF_12/2015</v>
      </c>
      <c r="C58" s="54" t="str">
        <f>Planilha!D59</f>
        <v>KG</v>
      </c>
      <c r="D58" s="55">
        <v>133.66</v>
      </c>
      <c r="E58" s="179" t="s">
        <v>420</v>
      </c>
    </row>
    <row r="59" spans="1:5" s="56" customFormat="1" ht="26.4" x14ac:dyDescent="0.25">
      <c r="A59" s="53" t="str">
        <f>Planilha!A60</f>
        <v>6.3.4</v>
      </c>
      <c r="B59" s="59" t="str">
        <f>Planilha!C60</f>
        <v>CONCRETO FCK=20MPA, VIRADO EM BETONEIRA, SEM LANCAMENTO</v>
      </c>
      <c r="C59" s="54" t="str">
        <f>Planilha!D60</f>
        <v>M³</v>
      </c>
      <c r="D59" s="55">
        <v>3.27</v>
      </c>
      <c r="E59" s="179" t="s">
        <v>421</v>
      </c>
    </row>
    <row r="60" spans="1:5" s="56" customFormat="1" ht="26.4" x14ac:dyDescent="0.25">
      <c r="A60" s="53" t="str">
        <f>Planilha!A61</f>
        <v>6.3.5</v>
      </c>
      <c r="B60" s="59" t="str">
        <f>Planilha!C61</f>
        <v>LANÇAMENTO COM USO DE BALDES, ADENSAMENTO E ACABAMENTO DE CONCRETO EM ESTRUTURAS.</v>
      </c>
      <c r="C60" s="54" t="str">
        <f>Planilha!D61</f>
        <v>M³</v>
      </c>
      <c r="D60" s="55">
        <f>D59</f>
        <v>3.27</v>
      </c>
      <c r="E60" s="179" t="s">
        <v>421</v>
      </c>
    </row>
    <row r="61" spans="1:5" s="283" customFormat="1" x14ac:dyDescent="0.25">
      <c r="A61" s="57" t="str">
        <f>Planilha!A62</f>
        <v>6.4</v>
      </c>
      <c r="B61" s="58" t="str">
        <f>Planilha!C62</f>
        <v>ALVENARIA</v>
      </c>
      <c r="C61" s="280"/>
      <c r="D61" s="281"/>
      <c r="E61" s="282"/>
    </row>
    <row r="62" spans="1:5" s="56" customFormat="1" ht="52.8" x14ac:dyDescent="0.25">
      <c r="A62" s="53" t="str">
        <f>Planilha!A63</f>
        <v>6.4.1</v>
      </c>
      <c r="B62" s="59" t="str">
        <f>Planilha!C63</f>
        <v>ALVENARIA DE VEDAÇÃO DE BLOCOS CERÂMICOS FURADOS NA HORIZONTAL DE 9X19X19CM (ESPESSURA 9CM) DE PAREDES COM ÁREA LÍQUIDA MENOR QUE 6M² SEM VÃOS E ARGAMASSA DE ASSENTAMENTO COM PREPARO EM BETONEIRA. AF_06/2014</v>
      </c>
      <c r="C62" s="54" t="str">
        <f>Planilha!D63</f>
        <v>M²</v>
      </c>
      <c r="D62" s="55">
        <v>136.08000000000001</v>
      </c>
      <c r="E62" s="179" t="s">
        <v>422</v>
      </c>
    </row>
    <row r="63" spans="1:5" s="56" customFormat="1" x14ac:dyDescent="0.25">
      <c r="A63" s="53" t="str">
        <f>Planilha!A64</f>
        <v>6.4.2</v>
      </c>
      <c r="B63" s="59" t="str">
        <f>Planilha!C64</f>
        <v>VERGA PRÉ-MOLDADA PARA JANELAS COM ATÉ 1,5 M DE VÃO</v>
      </c>
      <c r="C63" s="54" t="str">
        <f>Planilha!D64</f>
        <v>M</v>
      </c>
      <c r="D63" s="55">
        <f>2.6+0.6+0.3*0.4</f>
        <v>3.3200000000000003</v>
      </c>
      <c r="E63" s="179" t="s">
        <v>423</v>
      </c>
    </row>
    <row r="64" spans="1:5" s="56" customFormat="1" x14ac:dyDescent="0.25">
      <c r="A64" s="53" t="str">
        <f>Planilha!A65</f>
        <v>6.4.3</v>
      </c>
      <c r="B64" s="59" t="str">
        <f>Planilha!C65</f>
        <v>VERGA PRÉ-MOLDADA PARA PORTAS COM ATÉ 1,5 M DE VÃO.</v>
      </c>
      <c r="C64" s="54" t="str">
        <f>Planilha!D65</f>
        <v>M</v>
      </c>
      <c r="D64" s="55">
        <f>(0.8*3+0.9)+0.4*4</f>
        <v>4.9000000000000004</v>
      </c>
      <c r="E64" s="179" t="s">
        <v>424</v>
      </c>
    </row>
    <row r="65" spans="1:5" s="283" customFormat="1" x14ac:dyDescent="0.25">
      <c r="A65" s="57" t="str">
        <f>Planilha!A66</f>
        <v>6.5</v>
      </c>
      <c r="B65" s="58" t="str">
        <f>Planilha!C66</f>
        <v>IMPERMEABILIZAÇÃO</v>
      </c>
      <c r="C65" s="280"/>
      <c r="D65" s="281"/>
      <c r="E65" s="282"/>
    </row>
    <row r="66" spans="1:5" s="56" customFormat="1" ht="26.4" x14ac:dyDescent="0.25">
      <c r="A66" s="53" t="str">
        <f>Planilha!A67</f>
        <v>6.5.1</v>
      </c>
      <c r="B66" s="59" t="str">
        <f>Planilha!C67</f>
        <v>IMPERMEABILIZACAO DE ESTRUTURAS ENTERRADAS, COM TINTA ASFALTICA, DUAS DEMAOS</v>
      </c>
      <c r="C66" s="54" t="str">
        <f>Planilha!D67</f>
        <v>M²</v>
      </c>
      <c r="D66" s="55">
        <f>48.6*0.45</f>
        <v>21.87</v>
      </c>
      <c r="E66" s="179" t="s">
        <v>425</v>
      </c>
    </row>
    <row r="67" spans="1:5" s="283" customFormat="1" x14ac:dyDescent="0.25">
      <c r="A67" s="57" t="str">
        <f>Planilha!A68</f>
        <v>6.6</v>
      </c>
      <c r="B67" s="58" t="str">
        <f>Planilha!C68</f>
        <v>ESQUADRIAS  E FERRAGENS</v>
      </c>
      <c r="C67" s="280"/>
      <c r="D67" s="281"/>
      <c r="E67" s="282"/>
    </row>
    <row r="68" spans="1:5" s="56" customFormat="1" x14ac:dyDescent="0.25">
      <c r="A68" s="53" t="str">
        <f>Planilha!A69</f>
        <v>6.6.1</v>
      </c>
      <c r="B68" s="59" t="str">
        <f>Planilha!C69</f>
        <v>JANELA BASCULANTE, ACO, COM BATENTE/REQUADRO, 60 X 80 CM (SEM VIDROS)</v>
      </c>
      <c r="C68" s="54" t="str">
        <f>Planilha!D69</f>
        <v>M²</v>
      </c>
      <c r="D68" s="55">
        <f>0.6*0.4*2</f>
        <v>0.48</v>
      </c>
      <c r="E68" s="179" t="s">
        <v>427</v>
      </c>
    </row>
    <row r="69" spans="1:5" s="56" customFormat="1" ht="26.4" x14ac:dyDescent="0.25">
      <c r="A69" s="53" t="str">
        <f>Planilha!A70</f>
        <v>6.6.2</v>
      </c>
      <c r="B69" s="59" t="str">
        <f>Planilha!C70</f>
        <v>JANELA DE AÇO DE CORRER, 4 FOLHAS, FIXAÇÃO COM ARGAMASSA, SEM VIDROS,PADRONIZADA</v>
      </c>
      <c r="C69" s="54" t="str">
        <f>Planilha!D70</f>
        <v>M²</v>
      </c>
      <c r="D69" s="55">
        <v>1.2</v>
      </c>
      <c r="E69" s="179" t="s">
        <v>426</v>
      </c>
    </row>
    <row r="70" spans="1:5" s="56" customFormat="1" x14ac:dyDescent="0.25">
      <c r="A70" s="53" t="str">
        <f>Planilha!A71</f>
        <v>6.6.3</v>
      </c>
      <c r="B70" s="59" t="str">
        <f>Planilha!C71</f>
        <v>PORTA DE FERRO TIPO VENEZIANA, DE ABRIR, SEM BANDEIRA SEM FERRAGENS</v>
      </c>
      <c r="C70" s="54" t="str">
        <f>Planilha!D71</f>
        <v>M²</v>
      </c>
      <c r="D70" s="55">
        <f>0.8*2.1*3+0.9*2.1*1</f>
        <v>6.9300000000000015</v>
      </c>
      <c r="E70" s="179" t="s">
        <v>428</v>
      </c>
    </row>
    <row r="71" spans="1:5" s="56" customFormat="1" ht="39.6" x14ac:dyDescent="0.25">
      <c r="A71" s="53" t="str">
        <f>Planilha!A72</f>
        <v>6.6.6</v>
      </c>
      <c r="B71" s="59" t="str">
        <f>Planilha!C72</f>
        <v>FECHADURA DE EMBUTIR COM CILINDRO, EXTERNA, COMPLETA, ACABAMENTO PADRÃO MÉDIO, INCLUSO EXECUÇÃO DE FURO - FORNECIMENTO E INSTALAÇÃO. AF_08/2015</v>
      </c>
      <c r="C71" s="54" t="str">
        <f>Planilha!D72</f>
        <v xml:space="preserve">UN </v>
      </c>
      <c r="D71" s="55">
        <v>4</v>
      </c>
      <c r="E71" s="179" t="s">
        <v>146</v>
      </c>
    </row>
    <row r="72" spans="1:5" s="56" customFormat="1" x14ac:dyDescent="0.25">
      <c r="A72" s="53" t="str">
        <f>Planilha!A73</f>
        <v>6.6.7</v>
      </c>
      <c r="B72" s="59" t="str">
        <f>Planilha!C73</f>
        <v>DOBRADICA EM LATAO CROMADO 3X3", COM ANEIS</v>
      </c>
      <c r="C72" s="54" t="str">
        <f>Planilha!D73</f>
        <v xml:space="preserve">UN </v>
      </c>
      <c r="D72" s="55">
        <f>3*4</f>
        <v>12</v>
      </c>
      <c r="E72" s="179" t="s">
        <v>146</v>
      </c>
    </row>
    <row r="73" spans="1:5" s="283" customFormat="1" x14ac:dyDescent="0.25">
      <c r="A73" s="57" t="str">
        <f>Planilha!A74</f>
        <v>6.7</v>
      </c>
      <c r="B73" s="58" t="str">
        <f>Planilha!C74</f>
        <v>INSTALAÇÕES HIDRO-SANITÁRIAS</v>
      </c>
      <c r="C73" s="280"/>
      <c r="D73" s="281"/>
      <c r="E73" s="289"/>
    </row>
    <row r="74" spans="1:5" s="56" customFormat="1" ht="26.4" x14ac:dyDescent="0.25">
      <c r="A74" s="53" t="str">
        <f>Planilha!A75</f>
        <v>6.7.1</v>
      </c>
      <c r="B74" s="59" t="str">
        <f>Planilha!C75</f>
        <v>TUBO, PVC, SOLDÁVEL, DN 25MM, INSTALADO EM RAMAL OU SUB-RAMAL DE ÁGUA - FORNECIMENTO E INSTALAÇÃO. AF_12/2014_P</v>
      </c>
      <c r="C74" s="54" t="str">
        <f>Planilha!D75</f>
        <v>M</v>
      </c>
      <c r="D74" s="55">
        <f>3*12</f>
        <v>36</v>
      </c>
      <c r="E74" s="180" t="s">
        <v>146</v>
      </c>
    </row>
    <row r="75" spans="1:5" s="56" customFormat="1" ht="26.4" x14ac:dyDescent="0.25">
      <c r="A75" s="53" t="str">
        <f>Planilha!A76</f>
        <v>6.7.2</v>
      </c>
      <c r="B75" s="59" t="str">
        <f>Planilha!C76</f>
        <v>TUBO, PVC, SOLDÁVEL, DN 60MM, INSTALADO EM PRUMADA DE ÁGUA - FORNECIMENTO E INSTALAÇÃO. AF_12/2014_P</v>
      </c>
      <c r="C75" s="54" t="str">
        <f>Planilha!D76</f>
        <v>M</v>
      </c>
      <c r="D75" s="55">
        <v>6</v>
      </c>
      <c r="E75" s="180" t="s">
        <v>146</v>
      </c>
    </row>
    <row r="76" spans="1:5" s="56" customFormat="1" ht="26.4" x14ac:dyDescent="0.25">
      <c r="A76" s="53" t="str">
        <f>Planilha!A77</f>
        <v>6.7.3</v>
      </c>
      <c r="B76" s="59" t="str">
        <f>Planilha!C77</f>
        <v>TUBO, PVC, SOLDÁVEL, DN 50MM, INSTALADO EM PRUMADA DE ÁGUA - FORNECIMENTO E INSTALAÇÃO. AF_12/2014_P</v>
      </c>
      <c r="C76" s="54" t="str">
        <f>Planilha!D77</f>
        <v>M</v>
      </c>
      <c r="D76" s="55">
        <f>3*6</f>
        <v>18</v>
      </c>
      <c r="E76" s="180" t="s">
        <v>146</v>
      </c>
    </row>
    <row r="77" spans="1:5" s="56" customFormat="1" x14ac:dyDescent="0.25">
      <c r="A77" s="53" t="str">
        <f>Planilha!A78</f>
        <v>6.7.4</v>
      </c>
      <c r="B77" s="59" t="str">
        <f>Planilha!C78</f>
        <v>LUVA SOLDAVEL COM ROSCA, PVC, 50 MM X 1 1/2", PARA AGUA FRIA PREDIAL</v>
      </c>
      <c r="C77" s="54" t="str">
        <f>Planilha!D78</f>
        <v xml:space="preserve">UN </v>
      </c>
      <c r="D77" s="55">
        <v>2</v>
      </c>
      <c r="E77" s="180" t="s">
        <v>146</v>
      </c>
    </row>
    <row r="78" spans="1:5" s="56" customFormat="1" x14ac:dyDescent="0.25">
      <c r="A78" s="53" t="str">
        <f>Planilha!A79</f>
        <v>6.7.5</v>
      </c>
      <c r="B78" s="59" t="str">
        <f>Planilha!C79</f>
        <v>LUVA SOLDAVEL COM ROSCA, PVC, 25 MM X 3/4", PARA AGUA FRIA PREDIAL</v>
      </c>
      <c r="C78" s="54" t="str">
        <f>Planilha!D79</f>
        <v xml:space="preserve">UN </v>
      </c>
      <c r="D78" s="55">
        <v>3</v>
      </c>
      <c r="E78" s="180" t="s">
        <v>146</v>
      </c>
    </row>
    <row r="79" spans="1:5" s="56" customFormat="1" ht="26.4" x14ac:dyDescent="0.25">
      <c r="A79" s="53" t="str">
        <f>Planilha!A80</f>
        <v>6.7.6</v>
      </c>
      <c r="B79" s="59" t="str">
        <f>Planilha!C80</f>
        <v>REGISTRO DE PRESSÃO BRUTO, LATÃO, ROSCÁVEL, 3/4", COM ACABAMENTO E CANOPLA CROMADOS. FORNECIDO E INSTALADO EM RAMAL DE ÁGUA. AF_12/2014</v>
      </c>
      <c r="C79" s="54" t="str">
        <f>Planilha!D80</f>
        <v xml:space="preserve">UN </v>
      </c>
      <c r="D79" s="55">
        <v>1</v>
      </c>
      <c r="E79" s="180" t="s">
        <v>146</v>
      </c>
    </row>
    <row r="80" spans="1:5" s="56" customFormat="1" ht="26.4" x14ac:dyDescent="0.25">
      <c r="A80" s="53" t="str">
        <f>Planilha!A81</f>
        <v>6.7.7</v>
      </c>
      <c r="B80" s="59" t="str">
        <f>Planilha!C81</f>
        <v>REGISTRO DE GAVETA BRUTO, LATÃO, ROSCÁVEL, 3/4", COM ACABAMENTO E CANOPLA CROMADOS. FORNECIDO E INSTALADO EM RAMAL DE ÁGUA. AF_12/2014</v>
      </c>
      <c r="C80" s="54" t="str">
        <f>Planilha!D81</f>
        <v xml:space="preserve">UN </v>
      </c>
      <c r="D80" s="55">
        <v>2</v>
      </c>
      <c r="E80" s="180" t="s">
        <v>146</v>
      </c>
    </row>
    <row r="81" spans="1:5" s="56" customFormat="1" ht="39.6" x14ac:dyDescent="0.25">
      <c r="A81" s="53" t="str">
        <f>Planilha!A82</f>
        <v>6.7.8</v>
      </c>
      <c r="B81" s="59" t="str">
        <f>Planilha!C82</f>
        <v>REGISTRO DE GAVETA BRUTO, LATÃO, ROSCÁVEL, 1 1/2, INSTALADO EM RESERVAÇÃO DE ÁGUA DE EDIFICAÇÃO QUE POSSUA RESERVATÓRIO DE FIBRA/FIBROCIMENTO FORNECIMENTO E INSTALAÇÃO. AF_06/2016</v>
      </c>
      <c r="C81" s="54" t="str">
        <f>Planilha!D82</f>
        <v xml:space="preserve">UN </v>
      </c>
      <c r="D81" s="55">
        <v>3</v>
      </c>
      <c r="E81" s="180" t="s">
        <v>146</v>
      </c>
    </row>
    <row r="82" spans="1:5" s="56" customFormat="1" ht="26.4" x14ac:dyDescent="0.25">
      <c r="A82" s="53" t="str">
        <f>Planilha!A83</f>
        <v>6.7.9</v>
      </c>
      <c r="B82" s="59" t="str">
        <f>Planilha!C83</f>
        <v>TE PVC, SOLDAVEL, COM ROSCA NA BOLSA CENTRAL, 90 GRAUS, 25 MM X 1/2", PARA AGUA FRIA PREDIAL</v>
      </c>
      <c r="C82" s="54" t="str">
        <f>Planilha!D83</f>
        <v xml:space="preserve">UN </v>
      </c>
      <c r="D82" s="55">
        <v>2</v>
      </c>
      <c r="E82" s="180" t="s">
        <v>146</v>
      </c>
    </row>
    <row r="83" spans="1:5" s="56" customFormat="1" ht="26.4" x14ac:dyDescent="0.25">
      <c r="A83" s="53" t="str">
        <f>Planilha!A84</f>
        <v>6.7.10</v>
      </c>
      <c r="B83" s="59" t="str">
        <f>Planilha!C84</f>
        <v>JOELHO PVC, SOLDAVEL COM ROSCA, 90 GRAUS, 25 MM X 1/2", PARA AGUA FRIA PREDIAL</v>
      </c>
      <c r="C83" s="54" t="str">
        <f>Planilha!D84</f>
        <v xml:space="preserve">UN </v>
      </c>
      <c r="D83" s="55">
        <v>1</v>
      </c>
      <c r="E83" s="180" t="s">
        <v>146</v>
      </c>
    </row>
    <row r="84" spans="1:5" s="56" customFormat="1" ht="26.4" x14ac:dyDescent="0.25">
      <c r="A84" s="53" t="str">
        <f>Planilha!A85</f>
        <v>6.7.11</v>
      </c>
      <c r="B84" s="59" t="str">
        <f>Planilha!C85</f>
        <v>TORNEIRA CROMADA DE MESA, 1/2" OU 3/4", PARA LAVATÓRIO, PADRÃO POPULAR - FORNECIMENTO E INSTALAÇÃO. AF_12/2013</v>
      </c>
      <c r="C84" s="54" t="str">
        <f>Planilha!D85</f>
        <v xml:space="preserve">UN </v>
      </c>
      <c r="D84" s="55">
        <v>1</v>
      </c>
      <c r="E84" s="180" t="s">
        <v>146</v>
      </c>
    </row>
    <row r="85" spans="1:5" s="56" customFormat="1" ht="26.4" x14ac:dyDescent="0.25">
      <c r="A85" s="53" t="str">
        <f>Planilha!A86</f>
        <v>6.7.12</v>
      </c>
      <c r="B85" s="59" t="str">
        <f>Planilha!C86</f>
        <v>TORNEIRA CROMADA LONGA, DE PAREDE, 1/2" OU 3/4", PARA PIA DE COZINHA, PADRÃO POPULAR - FORNECIMENTO E INSTALAÇÃO. AF_12/2013</v>
      </c>
      <c r="C85" s="54" t="str">
        <f>Planilha!D86</f>
        <v xml:space="preserve">UN </v>
      </c>
      <c r="D85" s="55">
        <v>1</v>
      </c>
      <c r="E85" s="180" t="s">
        <v>146</v>
      </c>
    </row>
    <row r="86" spans="1:5" s="56" customFormat="1" ht="26.4" x14ac:dyDescent="0.25">
      <c r="A86" s="53" t="str">
        <f>Planilha!A87</f>
        <v>6.7.13</v>
      </c>
      <c r="B86" s="59" t="str">
        <f>Planilha!C87</f>
        <v>TORNEIRA CROMADA 1/2" OU 3/4" PARA TANQUE, PADRÃO POPULAR - FORNECIMENTO E INSTALAÇÃO. AF_12/2013</v>
      </c>
      <c r="C86" s="54" t="str">
        <f>Planilha!D87</f>
        <v xml:space="preserve">UN </v>
      </c>
      <c r="D86" s="55">
        <v>1</v>
      </c>
      <c r="E86" s="180" t="s">
        <v>146</v>
      </c>
    </row>
    <row r="87" spans="1:5" s="56" customFormat="1" ht="39.6" x14ac:dyDescent="0.25">
      <c r="A87" s="53" t="str">
        <f>Planilha!A88</f>
        <v>6.7.14</v>
      </c>
      <c r="B87" s="59" t="str">
        <f>Planilha!C88</f>
        <v>TUBO PVC, SERIE NORMAL, ESGOTO PREDIAL, DN 40 MM, FORNECIDO E INSTALADO EM RAMAL DE DESCARGA OU RAMAL DE ESGOTO SANITÁRIO. AF_12/2014_P</v>
      </c>
      <c r="C87" s="54" t="str">
        <f>Planilha!D88</f>
        <v>M</v>
      </c>
      <c r="D87" s="55">
        <v>6</v>
      </c>
      <c r="E87" s="180" t="s">
        <v>146</v>
      </c>
    </row>
    <row r="88" spans="1:5" s="56" customFormat="1" ht="39.6" x14ac:dyDescent="0.25">
      <c r="A88" s="53" t="str">
        <f>Planilha!A89</f>
        <v>6.7.15</v>
      </c>
      <c r="B88" s="59" t="str">
        <f>Planilha!C89</f>
        <v>TUBO PVC, SERIE NORMAL, ESGOTO PREDIAL, DN 50 MM, FORNECIDO E INSTALADO EM RAMAL DE DESCARGA OU RAMAL DE ESGOTO SANITÁRIO. AF_12/2014_P</v>
      </c>
      <c r="C88" s="54" t="str">
        <f>Planilha!D89</f>
        <v>M</v>
      </c>
      <c r="D88" s="55">
        <v>12</v>
      </c>
      <c r="E88" s="180" t="s">
        <v>146</v>
      </c>
    </row>
    <row r="89" spans="1:5" s="56" customFormat="1" ht="39.6" x14ac:dyDescent="0.25">
      <c r="A89" s="53" t="str">
        <f>Planilha!A90</f>
        <v>6.7.16</v>
      </c>
      <c r="B89" s="59" t="str">
        <f>Planilha!C90</f>
        <v>TUBO PVC, SERIE NORMAL, ESGOTO PREDIAL, DN 100 MM, FORNECIDO E INSTALADO EM RAMAL DE DESCARGA OU RAMAL DE ESGOTO SANITÁRIO. AF_12/2014_P</v>
      </c>
      <c r="C89" s="54" t="str">
        <f>Planilha!D90</f>
        <v>M</v>
      </c>
      <c r="D89" s="55">
        <v>24</v>
      </c>
      <c r="E89" s="180" t="s">
        <v>146</v>
      </c>
    </row>
    <row r="90" spans="1:5" s="56" customFormat="1" x14ac:dyDescent="0.25">
      <c r="A90" s="53" t="str">
        <f>Planilha!A91</f>
        <v>6.7.17</v>
      </c>
      <c r="B90" s="59" t="str">
        <f>Planilha!C91</f>
        <v>CAIXA SIFONADA PVC 150 X 150 X 50MM COM TAMPA CEGA QUADRADA BRANCA</v>
      </c>
      <c r="C90" s="54" t="str">
        <f>Planilha!D91</f>
        <v xml:space="preserve">UN </v>
      </c>
      <c r="D90" s="55">
        <v>3</v>
      </c>
      <c r="E90" s="180" t="s">
        <v>146</v>
      </c>
    </row>
    <row r="91" spans="1:5" s="56" customFormat="1" ht="26.4" x14ac:dyDescent="0.25">
      <c r="A91" s="53" t="str">
        <f>Planilha!A92</f>
        <v>6.7.18</v>
      </c>
      <c r="B91" s="59" t="str">
        <f>Planilha!C92</f>
        <v>RALO SIFONADO PVC, QUADRADO, 100 X 100 X 53 MM, SAIDA 40 MM, COM GRELHA BRANCA</v>
      </c>
      <c r="C91" s="54" t="str">
        <f>Planilha!D92</f>
        <v>M</v>
      </c>
      <c r="D91" s="55">
        <v>2</v>
      </c>
      <c r="E91" s="180" t="s">
        <v>146</v>
      </c>
    </row>
    <row r="92" spans="1:5" s="56" customFormat="1" ht="52.8" x14ac:dyDescent="0.25">
      <c r="A92" s="53" t="str">
        <f>Planilha!A93</f>
        <v>6.7.19</v>
      </c>
      <c r="B92" s="59" t="str">
        <f>Planilha!C93</f>
        <v>CAIXA DE INSPEÇÃO EM ALVENARIA DE TIJOLO MACIÇO 60X60X60CM, REVESTIDA INTERNAMENTO COM BARRA LISA (CIMENTO E AREIA, TRAÇO 1:4) E=2,0CM, COM TAMPA PRÉ-MOLDADA DE CONCRETO E FUNDO DE CONCRETO 15MPA TIPO C - ESCAVAÇÃO E CONFECÇÃO</v>
      </c>
      <c r="C92" s="54" t="str">
        <f>Planilha!D93</f>
        <v>M</v>
      </c>
      <c r="D92" s="55">
        <v>2</v>
      </c>
      <c r="E92" s="180" t="s">
        <v>146</v>
      </c>
    </row>
    <row r="93" spans="1:5" s="56" customFormat="1" ht="39.6" x14ac:dyDescent="0.25">
      <c r="A93" s="53" t="str">
        <f>Planilha!A94</f>
        <v>6.7.20</v>
      </c>
      <c r="B93" s="59" t="str">
        <f>Planilha!C94</f>
        <v>FOSSA SEPTICA EM ALVENARIA DE TIJOLO CERAMICO MACICO DIMENSOES EXTERNAS 1,90X1,10X1,40M, 1.500 LITROS, REVESTIDA INTERNAMENTE COM BARRA LISA, COM TAMPA EM CONCRETO ARMADO COM ESPESSURA 8CM</v>
      </c>
      <c r="C93" s="54" t="str">
        <f>Planilha!D94</f>
        <v>M</v>
      </c>
      <c r="D93" s="55">
        <v>2</v>
      </c>
      <c r="E93" s="180" t="s">
        <v>146</v>
      </c>
    </row>
    <row r="94" spans="1:5" s="56" customFormat="1" ht="39.6" x14ac:dyDescent="0.25">
      <c r="A94" s="53" t="str">
        <f>Planilha!A95</f>
        <v>6.7.21</v>
      </c>
      <c r="B94" s="59" t="str">
        <f>Planilha!C95</f>
        <v>SUMIDOURO EM ALVENARIA DE TIJOLO CERAMICO MACIÇO DIAMETRO 1,40M E ALTURA 5,00M, COM TAMPA EM CONCRETO ARMADO DIAMETRO 1,60M E ESPESSURA 10CM</v>
      </c>
      <c r="C94" s="54" t="str">
        <f>Planilha!D95</f>
        <v>M</v>
      </c>
      <c r="D94" s="55">
        <v>2</v>
      </c>
      <c r="E94" s="180" t="s">
        <v>146</v>
      </c>
    </row>
    <row r="95" spans="1:5" s="56" customFormat="1" ht="26.4" x14ac:dyDescent="0.25">
      <c r="A95" s="53" t="str">
        <f>Planilha!A96</f>
        <v>6.7.22</v>
      </c>
      <c r="B95" s="59" t="str">
        <f>Planilha!C96</f>
        <v>BANCADA DE GRANITO CINZA POLIDO PARA PIA DE COZINHA 1,50 X 0,60 M - FORNECIMENTO E INSTALAÇÃO</v>
      </c>
      <c r="C95" s="54" t="str">
        <f>Planilha!D96</f>
        <v xml:space="preserve">UN </v>
      </c>
      <c r="D95" s="55">
        <v>1</v>
      </c>
      <c r="E95" s="180" t="s">
        <v>146</v>
      </c>
    </row>
    <row r="96" spans="1:5" s="56" customFormat="1" x14ac:dyDescent="0.25">
      <c r="A96" s="53" t="str">
        <f>Planilha!A97</f>
        <v>6.7.23</v>
      </c>
      <c r="B96" s="59" t="str">
        <f>Planilha!C97</f>
        <v>CUBA DE EMBUTIR DE AÇO INOXIDÁVEL MÉDIA - FORNECIMENTO E INSTALAÇÃO</v>
      </c>
      <c r="C96" s="54" t="str">
        <f>Planilha!D97</f>
        <v xml:space="preserve">UN </v>
      </c>
      <c r="D96" s="55">
        <v>1</v>
      </c>
      <c r="E96" s="180" t="s">
        <v>146</v>
      </c>
    </row>
    <row r="97" spans="1:5" s="283" customFormat="1" x14ac:dyDescent="0.25">
      <c r="A97" s="57" t="str">
        <f>Planilha!A98</f>
        <v>6.8</v>
      </c>
      <c r="B97" s="58" t="str">
        <f>Planilha!C98</f>
        <v>REDE DE ÁGUAS PLUVIAIS</v>
      </c>
      <c r="C97" s="280"/>
      <c r="D97" s="281"/>
      <c r="E97" s="282"/>
    </row>
    <row r="98" spans="1:5" s="56" customFormat="1" ht="26.4" x14ac:dyDescent="0.25">
      <c r="A98" s="53" t="str">
        <f>Planilha!A99</f>
        <v>6.8.1</v>
      </c>
      <c r="B98" s="59" t="str">
        <f>Planilha!C99</f>
        <v>TUBO, PVC, SOLDÁVEL, DN 60MM, INSTALADO EM PRUMADA DE ÁGUA - FORNECIMENTO E INSTALAÇÃO. AF_12/2014_P</v>
      </c>
      <c r="C98" s="54" t="str">
        <f>Planilha!D99</f>
        <v>M</v>
      </c>
      <c r="D98" s="55">
        <v>15</v>
      </c>
      <c r="E98" s="180" t="s">
        <v>146</v>
      </c>
    </row>
    <row r="99" spans="1:5" s="56" customFormat="1" x14ac:dyDescent="0.25">
      <c r="A99" s="53" t="str">
        <f>Planilha!A100</f>
        <v>6.8.2</v>
      </c>
      <c r="B99" s="59" t="str">
        <f>Planilha!C100</f>
        <v xml:space="preserve">RESERVATÓRIO METÁLICO NA CAPACIDADE DE 10.000 LITROS </v>
      </c>
      <c r="C99" s="54" t="str">
        <f>Planilha!D100</f>
        <v xml:space="preserve">UN </v>
      </c>
      <c r="D99" s="55">
        <v>1</v>
      </c>
      <c r="E99" s="180" t="s">
        <v>146</v>
      </c>
    </row>
    <row r="100" spans="1:5" s="56" customFormat="1" x14ac:dyDescent="0.25">
      <c r="A100" s="53" t="str">
        <f>Planilha!A101</f>
        <v>6.8.3</v>
      </c>
      <c r="B100" s="59" t="str">
        <f>Planilha!C101</f>
        <v>FABRICAÇÃO DE FÔRMA PARA VIGAS, COM MADEIRA SERRADA, E = 25 MM.</v>
      </c>
      <c r="C100" s="54" t="str">
        <f>Planilha!D101</f>
        <v>M²</v>
      </c>
      <c r="D100" s="55">
        <f>(8+4)*6</f>
        <v>72</v>
      </c>
      <c r="E100" s="180" t="s">
        <v>146</v>
      </c>
    </row>
    <row r="101" spans="1:5" s="56" customFormat="1" ht="39.6" x14ac:dyDescent="0.25">
      <c r="A101" s="53" t="str">
        <f>Planilha!A103</f>
        <v>6.8.4</v>
      </c>
      <c r="B101" s="59" t="str">
        <f>Planilha!C103</f>
        <v>ARMAÇÃO DE PILAR OU VIGA DE UMA ESTRUTURA CONVENCIONAL DE CONCRETO ARMADO EM UMA EDIFICAÇÃO TÉRREA OU SOBRADO UTILIZANDO AÇO CA-50 DE 10,0 MM</v>
      </c>
      <c r="C101" s="54" t="str">
        <f>Planilha!D103</f>
        <v>KG</v>
      </c>
      <c r="D101" s="55">
        <v>17.71</v>
      </c>
      <c r="E101" s="180" t="s">
        <v>146</v>
      </c>
    </row>
    <row r="102" spans="1:5" s="56" customFormat="1" ht="39.6" x14ac:dyDescent="0.25">
      <c r="A102" s="53" t="str">
        <f>Planilha!A104</f>
        <v>6.8.5</v>
      </c>
      <c r="B102" s="59" t="str">
        <f>Planilha!C104</f>
        <v>ARMAÇÃO DE PILAR OU VIGA DE UMA ESTRUTURA CONVENCIONAL DE CONCRETO ARMADO EM UMA EDIFÍCAÇÃO TÉRREA OU SOBRADO UTILIZANDO AÇO CA-50 DE 6.3 MM - MONTAGEM. AF_12/2015</v>
      </c>
      <c r="C102" s="54" t="str">
        <f>Planilha!D104</f>
        <v>KG</v>
      </c>
      <c r="D102" s="55">
        <v>39.909999999999997</v>
      </c>
      <c r="E102" s="180" t="s">
        <v>146</v>
      </c>
    </row>
    <row r="103" spans="1:5" s="56" customFormat="1" x14ac:dyDescent="0.25">
      <c r="A103" s="53" t="str">
        <f>Planilha!A105</f>
        <v>6.8.6</v>
      </c>
      <c r="B103" s="59" t="str">
        <f>Planilha!C105</f>
        <v>CONCRETO FCK=20MPA, VIRADO EM BETONEIRA, SEM LANCAMENTO</v>
      </c>
      <c r="C103" s="54" t="str">
        <f>Planilha!D105</f>
        <v>M³</v>
      </c>
      <c r="D103" s="55">
        <v>1.46</v>
      </c>
      <c r="E103" s="180" t="s">
        <v>146</v>
      </c>
    </row>
    <row r="104" spans="1:5" s="56" customFormat="1" ht="26.4" x14ac:dyDescent="0.25">
      <c r="A104" s="53" t="str">
        <f>Planilha!A106</f>
        <v>6.8.7</v>
      </c>
      <c r="B104" s="59" t="str">
        <f>Planilha!C106</f>
        <v>LANÇAMENTO COM USO DE BALDES, ADENSAMENTO E ACABAMENTO DE CONCRETO EM ESTRUTURAS.</v>
      </c>
      <c r="C104" s="54" t="str">
        <f>Planilha!D106</f>
        <v>M³</v>
      </c>
      <c r="D104" s="55">
        <f>48.6*0.15*0.2</f>
        <v>1.4580000000000002</v>
      </c>
      <c r="E104" s="180" t="s">
        <v>146</v>
      </c>
    </row>
    <row r="105" spans="1:5" s="56" customFormat="1" ht="39.6" x14ac:dyDescent="0.25">
      <c r="A105" s="53" t="str">
        <f>Planilha!A107</f>
        <v>6.8.8</v>
      </c>
      <c r="B105" s="59" t="str">
        <f>Planilha!C107</f>
        <v>ESTACA ESCAVADA MECANICAMENTE, SEM FLUIDO ESTABILIZANTE, COM 25 CM DEDIÂMETRO, ATÉ 9 M DE COMPRIMENTO, CONCRETO LANÇADO POR CAMINHÃO BETONEIRA (EXCLUSIVE MOBILIZAÇÃO E DESMOBILIZAÇÃO)</v>
      </c>
      <c r="C105" s="54" t="str">
        <f>Planilha!D107</f>
        <v>M</v>
      </c>
      <c r="D105" s="55">
        <f>4*6</f>
        <v>24</v>
      </c>
      <c r="E105" s="180" t="s">
        <v>146</v>
      </c>
    </row>
    <row r="106" spans="1:5" s="283" customFormat="1" x14ac:dyDescent="0.25">
      <c r="A106" s="57" t="str">
        <f>Planilha!A109</f>
        <v>6.9</v>
      </c>
      <c r="B106" s="58" t="str">
        <f>Planilha!C109</f>
        <v>INSTALAÇÕES ELÉTRICAS</v>
      </c>
      <c r="C106" s="280"/>
      <c r="D106" s="281"/>
      <c r="E106" s="180" t="s">
        <v>146</v>
      </c>
    </row>
    <row r="107" spans="1:5" s="56" customFormat="1" ht="26.4" x14ac:dyDescent="0.25">
      <c r="A107" s="53" t="str">
        <f>Planilha!A110</f>
        <v>6.9.1</v>
      </c>
      <c r="B107" s="59" t="str">
        <f>Planilha!C110</f>
        <v>ELETRODUTO RÍGIDO ROSCÁVEL, PVC, DN 20 MM (1/2"), PARA CIRCUITOS TERMINAIS, INSTALADO EM FORRO - FORNECIMENTO E INSTALAÇÃO. AF_12/2015</v>
      </c>
      <c r="C107" s="54" t="str">
        <f>Planilha!D110</f>
        <v>M</v>
      </c>
      <c r="D107" s="55">
        <f>4*2</f>
        <v>8</v>
      </c>
      <c r="E107" s="180" t="s">
        <v>146</v>
      </c>
    </row>
    <row r="108" spans="1:5" s="56" customFormat="1" ht="26.4" x14ac:dyDescent="0.25">
      <c r="A108" s="53" t="str">
        <f>Planilha!A111</f>
        <v>6.9.2</v>
      </c>
      <c r="B108" s="59" t="str">
        <f>Planilha!C111</f>
        <v>ELETRODUTO RÍGIDO ROSCÁVEL, PVC, DN 40 MM (1 1/4"), PARA CIRCUITOS TERMINAIS, INSTALADO EM FORRO - FORNECIMENTO E INSTALAÇÃO. AF_12/2015</v>
      </c>
      <c r="C108" s="54" t="str">
        <f>Planilha!D111</f>
        <v>M</v>
      </c>
      <c r="D108" s="55">
        <v>20</v>
      </c>
      <c r="E108" s="180" t="s">
        <v>146</v>
      </c>
    </row>
    <row r="109" spans="1:5" s="56" customFormat="1" ht="39.6" x14ac:dyDescent="0.25">
      <c r="A109" s="53" t="str">
        <f>Planilha!A112</f>
        <v>6.9.3</v>
      </c>
      <c r="B109" s="59" t="str">
        <f>Planilha!C112</f>
        <v>QUADRO DE DISTRIBUICAO DE ENERGIA DE EMBUTIR, EM CHAPA METALICA, PARA 18 DISJUNTORES TERMOMAGNETICOS MONOPOLARES, COM BARRAMENTO TRIFASICO E NEUTRO, FORNECIMENTO E INSTALACAO</v>
      </c>
      <c r="C109" s="54" t="str">
        <f>Planilha!D112</f>
        <v xml:space="preserve">UN </v>
      </c>
      <c r="D109" s="55">
        <v>1</v>
      </c>
      <c r="E109" s="180" t="s">
        <v>146</v>
      </c>
    </row>
    <row r="110" spans="1:5" s="56" customFormat="1" x14ac:dyDescent="0.25">
      <c r="A110" s="53" t="str">
        <f>Planilha!A113</f>
        <v>6.9.4</v>
      </c>
      <c r="B110" s="59" t="str">
        <f>Planilha!C113</f>
        <v>CAIXA DE PASSAGEM 40X40X50 FUNDO BRITA COM TAMPA</v>
      </c>
      <c r="C110" s="54" t="str">
        <f>Planilha!D113</f>
        <v xml:space="preserve">UN </v>
      </c>
      <c r="D110" s="55">
        <v>1</v>
      </c>
      <c r="E110" s="180" t="s">
        <v>146</v>
      </c>
    </row>
    <row r="111" spans="1:5" s="56" customFormat="1" ht="26.4" x14ac:dyDescent="0.25">
      <c r="A111" s="53" t="str">
        <f>Planilha!A114</f>
        <v>6.9.6</v>
      </c>
      <c r="B111" s="59" t="str">
        <f>Planilha!C114</f>
        <v>CABO DE COBRE FLEXÍVEL ISOLADO, 1,5 MM², ANTI-CHAMA 450/750 V, PARA CIRCUITOS TERMINAIS - FORNECIMENTO E INSTALAÇÃO. AF_12/2015</v>
      </c>
      <c r="C111" s="54" t="str">
        <f>Planilha!D114</f>
        <v>M</v>
      </c>
      <c r="D111" s="55">
        <v>50</v>
      </c>
      <c r="E111" s="180" t="s">
        <v>146</v>
      </c>
    </row>
    <row r="112" spans="1:5" s="56" customFormat="1" ht="26.4" x14ac:dyDescent="0.25">
      <c r="A112" s="53" t="str">
        <f>Planilha!A115</f>
        <v>6.9.7</v>
      </c>
      <c r="B112" s="59" t="str">
        <f>Planilha!C115</f>
        <v>CABO DE COBRE FLEXÍVEL ISOLADO, 2,5 MM², ANTI-CHAMA 450/750 V, PARA CIRCUITOS TERMINAIS - FORNECIMENTO E INSTALAÇÃO. AF_12/2015</v>
      </c>
      <c r="C112" s="54" t="str">
        <f>Planilha!D115</f>
        <v>M</v>
      </c>
      <c r="D112" s="55">
        <v>100</v>
      </c>
      <c r="E112" s="180" t="s">
        <v>146</v>
      </c>
    </row>
    <row r="113" spans="1:5" s="56" customFormat="1" ht="26.4" x14ac:dyDescent="0.25">
      <c r="A113" s="53" t="str">
        <f>Planilha!A116</f>
        <v>6.9.9</v>
      </c>
      <c r="B113" s="59" t="str">
        <f>Planilha!C116</f>
        <v xml:space="preserve">CABO DE COBRE FLEXÍVEL ISOLADO, 10 MM², ANTI-CHAMA 450/750 V, PARA CIRCUITOS TERMINAIS - FORNECIMENTO E INSTALAÇÃO. AF_12/2015 </v>
      </c>
      <c r="C113" s="54" t="str">
        <f>Planilha!D116</f>
        <v>M</v>
      </c>
      <c r="D113" s="55">
        <v>80</v>
      </c>
      <c r="E113" s="180" t="s">
        <v>146</v>
      </c>
    </row>
    <row r="114" spans="1:5" s="56" customFormat="1" ht="26.4" x14ac:dyDescent="0.25">
      <c r="A114" s="53" t="str">
        <f>Planilha!A117</f>
        <v>6.9.14</v>
      </c>
      <c r="B114" s="59" t="str">
        <f>Planilha!C117</f>
        <v>DISJUNTOR TERMOMAGNETICO BIPOLAR PADRAO NEMA (AMERICANO) 10 A 50A 240V, FORNECIMENTO E INSTALACAO</v>
      </c>
      <c r="C114" s="54" t="str">
        <f>Planilha!D117</f>
        <v xml:space="preserve">UN </v>
      </c>
      <c r="D114" s="55">
        <v>1</v>
      </c>
      <c r="E114" s="180" t="s">
        <v>146</v>
      </c>
    </row>
    <row r="115" spans="1:5" s="56" customFormat="1" ht="26.4" x14ac:dyDescent="0.25">
      <c r="A115" s="53" t="str">
        <f>Planilha!A118</f>
        <v>6.9.15</v>
      </c>
      <c r="B115" s="59" t="str">
        <f>Planilha!C118</f>
        <v>DISJUNTOR TERMOMAGNETICO MONOPOLAR PADRAO NEMA (AMERICANO) 10 A 30A 240V, FORNECIMENTO E INSTALACAO</v>
      </c>
      <c r="C115" s="54" t="str">
        <f>Planilha!D118</f>
        <v xml:space="preserve">UN </v>
      </c>
      <c r="D115" s="55">
        <v>1</v>
      </c>
      <c r="E115" s="180" t="s">
        <v>146</v>
      </c>
    </row>
    <row r="116" spans="1:5" s="56" customFormat="1" ht="26.4" x14ac:dyDescent="0.25">
      <c r="A116" s="53" t="str">
        <f>Planilha!A119</f>
        <v>6.9.16</v>
      </c>
      <c r="B116" s="59" t="str">
        <f>Planilha!C119</f>
        <v>INTERRUPTOR SIMPLES (1 MÓDULO), 10A/250V, INCLUINDO SUPORTE E PLACA - FORNECIMENTO E INSTALAÇÃO. AF_12/2015</v>
      </c>
      <c r="C116" s="54" t="str">
        <f>Planilha!D119</f>
        <v xml:space="preserve">UN </v>
      </c>
      <c r="D116" s="55">
        <v>1</v>
      </c>
      <c r="E116" s="180" t="s">
        <v>146</v>
      </c>
    </row>
    <row r="117" spans="1:5" s="56" customFormat="1" x14ac:dyDescent="0.25">
      <c r="A117" s="53" t="str">
        <f>Planilha!A120</f>
        <v>6.9.19</v>
      </c>
      <c r="B117" s="59" t="str">
        <f>Planilha!C120</f>
        <v>TOMADA DE EMBUTIR, 2 P + T, UNIVERSAL, DE 10 A / 250 V, COM PLACA</v>
      </c>
      <c r="C117" s="54" t="str">
        <f>Planilha!D120</f>
        <v xml:space="preserve">UN </v>
      </c>
      <c r="D117" s="55">
        <v>3</v>
      </c>
      <c r="E117" s="180" t="s">
        <v>146</v>
      </c>
    </row>
    <row r="118" spans="1:5" s="56" customFormat="1" ht="26.4" x14ac:dyDescent="0.25">
      <c r="A118" s="53" t="str">
        <f>Planilha!A121</f>
        <v>6.9.20</v>
      </c>
      <c r="B118" s="59" t="str">
        <f>Planilha!C121</f>
        <v>LUMINARIA TIPO CALHA, DE SOBREPOR, COM REATOR DE PARTIDA RAPIDA E LAMPADA FLUORESCENTE 4X20W, COMPLETA, FORNECIMENTO E INSTALACAO</v>
      </c>
      <c r="C118" s="54" t="str">
        <f>Planilha!D121</f>
        <v xml:space="preserve">UN </v>
      </c>
      <c r="D118" s="55">
        <v>8</v>
      </c>
      <c r="E118" s="180" t="s">
        <v>146</v>
      </c>
    </row>
    <row r="119" spans="1:5" s="56" customFormat="1" x14ac:dyDescent="0.25">
      <c r="A119" s="53" t="str">
        <f>Planilha!A122</f>
        <v>6.9.21</v>
      </c>
      <c r="B119" s="59" t="str">
        <f>Planilha!C122</f>
        <v>HASTE COPPERWELD 5/8 X 3,0M COM CONECTOR</v>
      </c>
      <c r="C119" s="54" t="str">
        <f>Planilha!D122</f>
        <v xml:space="preserve">UN </v>
      </c>
      <c r="D119" s="55">
        <v>1</v>
      </c>
      <c r="E119" s="180" t="s">
        <v>146</v>
      </c>
    </row>
    <row r="120" spans="1:5" s="283" customFormat="1" x14ac:dyDescent="0.25">
      <c r="A120" s="57" t="str">
        <f>Planilha!A123</f>
        <v>6.10</v>
      </c>
      <c r="B120" s="58" t="str">
        <f>Planilha!C123</f>
        <v>REVESTIMENTO DE PAREDES</v>
      </c>
      <c r="C120" s="280"/>
      <c r="D120" s="281"/>
      <c r="E120" s="282"/>
    </row>
    <row r="121" spans="1:5" s="56" customFormat="1" ht="39.6" x14ac:dyDescent="0.25">
      <c r="A121" s="53" t="str">
        <f>Planilha!A124</f>
        <v>6.10.1</v>
      </c>
      <c r="B121" s="59" t="str">
        <f>Planilha!C124</f>
        <v>CHAPISCO APLICADO EM ALVENARIAS E ESTRUTURAS DE CONCRETO INTERNAS, COM COLHER DE PEDREIRO. ARGAMASSA TRAÇO 1:3 COM PREPARO MANUAL. AF_06/2014</v>
      </c>
      <c r="C121" s="54" t="str">
        <f>Planilha!D124</f>
        <v>M²</v>
      </c>
      <c r="D121" s="55">
        <f>D62*2</f>
        <v>272.16000000000003</v>
      </c>
      <c r="E121" s="179" t="s">
        <v>147</v>
      </c>
    </row>
    <row r="122" spans="1:5" s="56" customFormat="1" ht="52.8" x14ac:dyDescent="0.25">
      <c r="A122" s="53" t="str">
        <f>Planilha!A125</f>
        <v>6.10.2</v>
      </c>
      <c r="B122" s="59" t="str">
        <f>Planilha!C125</f>
        <v>EMBOÇO, PARA RECEBIMENTO DE CERÂMICA, EM ARGAMASSA TRAÇO 1:2:8, PREPARO MANUAL, APLICADO MANUALMENTE EM FACES INTERNAS DE PAREDES DE AMBIENTES COM ÁREA MENOR QUE 5M2, ESPESSURA DE 20MM, COM EXECUÇÃO DE TALISCAS. AF_06/2014</v>
      </c>
      <c r="C122" s="54" t="str">
        <f>Planilha!D125</f>
        <v>M²</v>
      </c>
      <c r="D122" s="55">
        <f>D121</f>
        <v>272.16000000000003</v>
      </c>
      <c r="E122" s="179" t="s">
        <v>147</v>
      </c>
    </row>
    <row r="123" spans="1:5" s="56" customFormat="1" ht="52.8" x14ac:dyDescent="0.25">
      <c r="A123" s="53" t="str">
        <f>Planilha!A126</f>
        <v>6.10.3</v>
      </c>
      <c r="B123" s="59" t="str">
        <f>Planilha!C126</f>
        <v>EMBOÇO, PARA RECEBIMENTO DE CERÂMICA, EM ARGAMASSA TRAÇO 1:2:8, PREPARO MECÂNICO COM BETONEIRA 400L, APLICADO MANUALMENTE EM FACES INTERNASDE PAREDES DE AMBIENTES COM ÁREA MAIOR QUE 10M2, ESPESSURA DE 20MM, COM EXECUÇÃO DE TALISCAS. AF_06/2014</v>
      </c>
      <c r="C123" s="54" t="str">
        <f>Planilha!D126</f>
        <v>M²</v>
      </c>
      <c r="D123" s="55">
        <f>(5.7*2+3*2)*2.8+(2*2+2.3*2)*2.8</f>
        <v>72.799999999999983</v>
      </c>
      <c r="E123" s="179" t="s">
        <v>429</v>
      </c>
    </row>
    <row r="124" spans="1:5" s="56" customFormat="1" ht="39.6" x14ac:dyDescent="0.25">
      <c r="A124" s="53" t="str">
        <f>Planilha!A127</f>
        <v>6.10.4</v>
      </c>
      <c r="B124" s="59" t="str">
        <f>Planilha!C127</f>
        <v>REVESTIMENTO CERÂMICO PARA PAREDES INTERNAS COM PLACAS TIPO GRÊS OU SEMI-GRÊS DE DIMENSÕES 20X20 CM APLICADAS EM AMBIENTES DE ÁREA MAIOR QUE 5 M² NA ALTURA INTEIRA DAS PAREDES. AF_06/2014</v>
      </c>
      <c r="C124" s="54" t="str">
        <f>Planilha!D127</f>
        <v>M²</v>
      </c>
      <c r="D124" s="55">
        <f>D123</f>
        <v>72.799999999999983</v>
      </c>
      <c r="E124" s="179" t="s">
        <v>429</v>
      </c>
    </row>
    <row r="125" spans="1:5" s="283" customFormat="1" x14ac:dyDescent="0.25">
      <c r="A125" s="57" t="str">
        <f>Planilha!A128</f>
        <v>6.11</v>
      </c>
      <c r="B125" s="58" t="str">
        <f>Planilha!C128</f>
        <v>REVESTIMENTO  DE  PISOS</v>
      </c>
      <c r="C125" s="280"/>
      <c r="D125" s="281"/>
      <c r="E125" s="282"/>
    </row>
    <row r="126" spans="1:5" s="56" customFormat="1" x14ac:dyDescent="0.25">
      <c r="A126" s="53" t="str">
        <f>Planilha!A129</f>
        <v>6.11.1</v>
      </c>
      <c r="B126" s="59" t="str">
        <f>Planilha!C129</f>
        <v>REGULARIZACAO E COMPACTACAO MANUAL DE TERRENO COM SOQUETE</v>
      </c>
      <c r="C126" s="54" t="str">
        <f>Planilha!D129</f>
        <v>M²</v>
      </c>
      <c r="D126" s="55">
        <f>8*8+3*2+2.3*2</f>
        <v>74.599999999999994</v>
      </c>
      <c r="E126" s="179" t="s">
        <v>430</v>
      </c>
    </row>
    <row r="127" spans="1:5" s="56" customFormat="1" x14ac:dyDescent="0.25">
      <c r="A127" s="53" t="str">
        <f>Planilha!A130</f>
        <v>6.11.2</v>
      </c>
      <c r="B127" s="59" t="str">
        <f>Planilha!C130</f>
        <v>LASTRO DE CONCRETO NAO-ESTRUTURAL, E=5CM, PREPARO COM BETONEIRA</v>
      </c>
      <c r="C127" s="54" t="str">
        <f>Planilha!D130</f>
        <v>M²</v>
      </c>
      <c r="D127" s="55">
        <f>D126</f>
        <v>74.599999999999994</v>
      </c>
      <c r="E127" s="179" t="s">
        <v>430</v>
      </c>
    </row>
    <row r="128" spans="1:5" s="56" customFormat="1" ht="26.4" x14ac:dyDescent="0.25">
      <c r="A128" s="53" t="str">
        <f>Planilha!A131</f>
        <v>6.11.3</v>
      </c>
      <c r="B128" s="59" t="str">
        <f>Planilha!C131</f>
        <v>REVESTIMENTO CERÂMICO PARA PISO COM PLACAS TIPO GRÊS DE DIMENSÕES 35X35 CM APLICADA EM AMBIENTES DE ÁREA ENTRE 5 M2 E 10 M2. AF_06/2014</v>
      </c>
      <c r="C128" s="54" t="str">
        <f>Planilha!D131</f>
        <v>M²</v>
      </c>
      <c r="D128" s="55">
        <f>D127</f>
        <v>74.599999999999994</v>
      </c>
      <c r="E128" s="179" t="s">
        <v>430</v>
      </c>
    </row>
    <row r="129" spans="1:8" s="283" customFormat="1" x14ac:dyDescent="0.25">
      <c r="A129" s="57" t="str">
        <f>Planilha!A132</f>
        <v>6.12</v>
      </c>
      <c r="B129" s="58" t="str">
        <f>Planilha!C132</f>
        <v>REVESTIMENTO DE FORROS</v>
      </c>
      <c r="C129" s="280"/>
      <c r="D129" s="281"/>
      <c r="E129" s="282"/>
    </row>
    <row r="130" spans="1:8" s="56" customFormat="1" ht="26.4" x14ac:dyDescent="0.25">
      <c r="A130" s="53" t="str">
        <f>Planilha!A133</f>
        <v>6.12.1</v>
      </c>
      <c r="B130" s="59" t="str">
        <f>Planilha!C133</f>
        <v>FORRO DE MADEIRA, TABUAS 10X1CM COM FRISO MACHO/FEMEA, INCLUSIVE MEIA-CANA E ENTARUGAMENTO</v>
      </c>
      <c r="C130" s="54" t="str">
        <f>Planilha!D133</f>
        <v>M²</v>
      </c>
      <c r="D130" s="55">
        <f>8*8+3*2+2.3*2</f>
        <v>74.599999999999994</v>
      </c>
      <c r="E130" s="179" t="s">
        <v>430</v>
      </c>
    </row>
    <row r="131" spans="1:8" s="56" customFormat="1" x14ac:dyDescent="0.25">
      <c r="A131" s="53" t="str">
        <f>Planilha!A134</f>
        <v>6.12.2</v>
      </c>
      <c r="B131" s="59" t="str">
        <f>Planilha!C134</f>
        <v>VERNIZ SINTETICO EM MADEIRA, DUAS DEMAOS</v>
      </c>
      <c r="C131" s="54" t="str">
        <f>Planilha!D134</f>
        <v>M²</v>
      </c>
      <c r="D131" s="55">
        <f>8*8+3*2+2.3*2</f>
        <v>74.599999999999994</v>
      </c>
      <c r="E131" s="179" t="s">
        <v>430</v>
      </c>
    </row>
    <row r="132" spans="1:8" s="283" customFormat="1" x14ac:dyDescent="0.25">
      <c r="A132" s="57" t="str">
        <f>Planilha!A135</f>
        <v>6.13</v>
      </c>
      <c r="B132" s="58" t="str">
        <f>Planilha!C135</f>
        <v>COBERTURA</v>
      </c>
      <c r="C132" s="280"/>
      <c r="D132" s="281"/>
      <c r="E132" s="282"/>
    </row>
    <row r="133" spans="1:8" s="56" customFormat="1" ht="26.4" x14ac:dyDescent="0.25">
      <c r="A133" s="53" t="str">
        <f>Planilha!A136</f>
        <v>6.13.1</v>
      </c>
      <c r="B133" s="59" t="str">
        <f>Planilha!C136</f>
        <v>RUFO EM CHAPA DE AÇO GALVANIZADO NÚMERO 24, CORTE DE 25 CM, INCLUSO TRANSPORTE VERTICAL. AF_06/2016</v>
      </c>
      <c r="C133" s="54" t="str">
        <f>Planilha!D136</f>
        <v>M</v>
      </c>
      <c r="D133" s="55">
        <f>(16+2.4+2.3+2.4)</f>
        <v>23.099999999999998</v>
      </c>
      <c r="E133" s="179" t="s">
        <v>444</v>
      </c>
    </row>
    <row r="134" spans="1:8" s="56" customFormat="1" ht="39.6" x14ac:dyDescent="0.25">
      <c r="A134" s="53" t="str">
        <f>Planilha!A137</f>
        <v>6.13.2</v>
      </c>
      <c r="B134" s="59" t="str">
        <f>Planilha!C137</f>
        <v>TRAMA DE MADEIRA COMPOSTA POR RIPAS, CAIBROS E TERÇAS PARA TELHADOS DE ATÉ 2 ÁGUAS PARA TELHA DE ENCAIXE DE CERÂMICA OU DE CONCRETO, INCLUSO TRANSPORTE VERTICAL. AF_12/2015</v>
      </c>
      <c r="C134" s="54" t="str">
        <f>Planilha!D137</f>
        <v>M²</v>
      </c>
      <c r="D134" s="55">
        <f>8.6*8.6+3.6*2.6+2.9*2.6</f>
        <v>90.86</v>
      </c>
      <c r="E134" s="179" t="s">
        <v>443</v>
      </c>
    </row>
    <row r="135" spans="1:8" s="56" customFormat="1" ht="26.4" x14ac:dyDescent="0.25">
      <c r="A135" s="53" t="str">
        <f>Planilha!A138</f>
        <v>6.13.3</v>
      </c>
      <c r="B135" s="59" t="str">
        <f>Planilha!C138</f>
        <v>TELHAMENTO COM TELHA CERÂMICA DE ENCAIXE, TIPO FRANCESA, COM ATÉ 2 ÁGUAS, INCLUSO TRANSPORTE VERTICAL. AF_06/2016</v>
      </c>
      <c r="C135" s="54" t="str">
        <f>Planilha!D138</f>
        <v>M²</v>
      </c>
      <c r="D135" s="55">
        <f>D134</f>
        <v>90.86</v>
      </c>
      <c r="E135" s="179" t="s">
        <v>443</v>
      </c>
    </row>
    <row r="136" spans="1:8" s="56" customFormat="1" ht="39.6" x14ac:dyDescent="0.25">
      <c r="A136" s="53" t="str">
        <f>Planilha!A139</f>
        <v>6.13.4</v>
      </c>
      <c r="B136" s="59" t="str">
        <f>Planilha!C139</f>
        <v>INSTALAÇÃO DE TESOURA (INTEIRA OU MEIA), BIAPOIADA, EM MADEIRA NÃO APARELHADA, PARA VÃOS MAIORES OU IGUAIS A 3,0 M E MENORES QUE 6,0 M, INCLUSO IÇAMENTO</v>
      </c>
      <c r="C136" s="54" t="str">
        <f>Planilha!D139</f>
        <v xml:space="preserve">UN </v>
      </c>
      <c r="D136" s="55">
        <v>1</v>
      </c>
      <c r="E136" s="179" t="s">
        <v>435</v>
      </c>
    </row>
    <row r="137" spans="1:8" s="56" customFormat="1" ht="39.6" x14ac:dyDescent="0.25">
      <c r="A137" s="53" t="str">
        <f>Planilha!A140</f>
        <v>6.13.5</v>
      </c>
      <c r="B137" s="59" t="str">
        <f>Planilha!C140</f>
        <v>INSTALAÇÃO DE TESOURA (INTEIRA OU MEIA), BIAPOIADA, EM MADEIRA NÃO APARELHADA, PARA VÃOS MAIORES OU IGUAIS A 6,0 M E MENORES QUE 8,0 M, INCLUSO IÇAMENTO.</v>
      </c>
      <c r="C137" s="54" t="str">
        <f>Planilha!D140</f>
        <v xml:space="preserve">UN </v>
      </c>
      <c r="D137" s="55">
        <v>1</v>
      </c>
      <c r="E137" s="179" t="s">
        <v>435</v>
      </c>
    </row>
    <row r="138" spans="1:8" s="283" customFormat="1" x14ac:dyDescent="0.25">
      <c r="A138" s="57" t="str">
        <f>Planilha!A141</f>
        <v>6.14</v>
      </c>
      <c r="B138" s="58" t="str">
        <f>Planilha!C141</f>
        <v>VIDRO</v>
      </c>
      <c r="C138" s="280"/>
      <c r="D138" s="281"/>
      <c r="E138" s="282"/>
      <c r="G138" s="56"/>
      <c r="H138" s="56"/>
    </row>
    <row r="139" spans="1:8" s="56" customFormat="1" ht="26.4" x14ac:dyDescent="0.25">
      <c r="A139" s="53" t="str">
        <f>Planilha!A142</f>
        <v>6.14.1</v>
      </c>
      <c r="B139" s="59" t="str">
        <f>Planilha!C142</f>
        <v>VIDRO FANTASIA TIPO CANELADO, ESPESSURA 4MM</v>
      </c>
      <c r="C139" s="54" t="str">
        <f>Planilha!D142</f>
        <v>M²</v>
      </c>
      <c r="D139" s="55">
        <v>1.68</v>
      </c>
      <c r="E139" s="179" t="s">
        <v>436</v>
      </c>
    </row>
    <row r="140" spans="1:8" s="283" customFormat="1" x14ac:dyDescent="0.25">
      <c r="A140" s="57" t="str">
        <f>Planilha!A143</f>
        <v>6.15</v>
      </c>
      <c r="B140" s="58" t="str">
        <f>Planilha!C143</f>
        <v>PINTURA</v>
      </c>
      <c r="C140" s="280"/>
      <c r="D140" s="281"/>
      <c r="E140" s="282"/>
      <c r="G140" s="56"/>
      <c r="H140" s="56"/>
    </row>
    <row r="141" spans="1:8" s="56" customFormat="1" ht="26.4" x14ac:dyDescent="0.25">
      <c r="A141" s="53" t="str">
        <f>Planilha!A144</f>
        <v>6.15.1</v>
      </c>
      <c r="B141" s="59" t="str">
        <f>Planilha!C144</f>
        <v>APLICAÇÃO E LIXAMENTO DE MASSA LÁTEX EM PAREDES, DUAS DEMÃOS. AF_06/2014</v>
      </c>
      <c r="C141" s="54" t="str">
        <f>Planilha!D144</f>
        <v>M²</v>
      </c>
      <c r="D141" s="55">
        <f>D121-D123</f>
        <v>199.36000000000004</v>
      </c>
      <c r="E141" s="179" t="s">
        <v>437</v>
      </c>
    </row>
    <row r="142" spans="1:8" s="56" customFormat="1" ht="26.4" x14ac:dyDescent="0.25">
      <c r="A142" s="53" t="str">
        <f>Planilha!A145</f>
        <v>6.15.2</v>
      </c>
      <c r="B142" s="59" t="str">
        <f>Planilha!C145</f>
        <v xml:space="preserve">PINTURA LATEX, EM PAREDES INTERNAS, EM DUAS DEMÃOS, INCLUSIVE UMA DEMÃO DE LÍQUIDO SELADOR  ACRÍLICO </v>
      </c>
      <c r="C142" s="54" t="str">
        <f>Planilha!D145</f>
        <v>M²</v>
      </c>
      <c r="D142" s="55">
        <f>D141</f>
        <v>199.36000000000004</v>
      </c>
      <c r="E142" s="179" t="s">
        <v>437</v>
      </c>
    </row>
    <row r="143" spans="1:8" s="56" customFormat="1" ht="26.4" x14ac:dyDescent="0.25">
      <c r="A143" s="53" t="str">
        <f>Planilha!A146</f>
        <v>6.15.3</v>
      </c>
      <c r="B143" s="59" t="str">
        <f>Planilha!C146</f>
        <v>APLICAÇÃO MANUAL DE PINTURA COM TINTA TEXTURIZADA ACRÍLICA EM PAREDES EXTERNAS DE CASAS, UMA COR. AF_06/2014</v>
      </c>
      <c r="C143" s="54" t="str">
        <f>Planilha!D146</f>
        <v>M²</v>
      </c>
      <c r="D143" s="55">
        <f>D142</f>
        <v>199.36000000000004</v>
      </c>
      <c r="E143" s="179" t="s">
        <v>437</v>
      </c>
    </row>
    <row r="144" spans="1:8" s="56" customFormat="1" x14ac:dyDescent="0.25">
      <c r="A144" s="53" t="str">
        <f>Planilha!A147</f>
        <v>6.15.4</v>
      </c>
      <c r="B144" s="59" t="str">
        <f>Planilha!C147</f>
        <v>PINTURA ESMALTE 2 DEMAOS C/1 DEMAO ZARCAO P/ESQUADRIA FERRO</v>
      </c>
      <c r="C144" s="54" t="str">
        <f>Planilha!D147</f>
        <v>M²</v>
      </c>
      <c r="D144" s="55">
        <f>D70*2+(D69+D68)*2</f>
        <v>17.220000000000002</v>
      </c>
      <c r="E144" s="179" t="s">
        <v>438</v>
      </c>
    </row>
    <row r="145" spans="1:5" s="283" customFormat="1" x14ac:dyDescent="0.25">
      <c r="A145" s="57" t="str">
        <f>Planilha!A148</f>
        <v>6.16</v>
      </c>
      <c r="B145" s="58" t="str">
        <f>Planilha!C148</f>
        <v>INSTALAÇÕES PREVENTIVAS DE INCÊNDIO</v>
      </c>
      <c r="C145" s="280"/>
      <c r="D145" s="281"/>
      <c r="E145" s="282"/>
    </row>
    <row r="146" spans="1:5" s="56" customFormat="1" ht="26.4" x14ac:dyDescent="0.25">
      <c r="A146" s="53" t="str">
        <f>Planilha!A149</f>
        <v>6.16.1</v>
      </c>
      <c r="B146" s="59" t="str">
        <f>Planilha!C149</f>
        <v>EXTINTOR INCENDIO AGUA-PRESSURIZADA 10L INCL SUPORTE PAREDE CARGA COMPLETA FORNECIMENTO E COLOCACAO</v>
      </c>
      <c r="C146" s="54" t="str">
        <f>Planilha!D149</f>
        <v xml:space="preserve">UN </v>
      </c>
      <c r="D146" s="55">
        <v>1</v>
      </c>
      <c r="E146" s="179" t="s">
        <v>146</v>
      </c>
    </row>
    <row r="147" spans="1:5" s="56" customFormat="1" x14ac:dyDescent="0.25">
      <c r="A147" s="53" t="str">
        <f>Planilha!A150</f>
        <v>6.16.2</v>
      </c>
      <c r="B147" s="59" t="str">
        <f>Planilha!C150</f>
        <v>EXTINTOR INCENDIO TP PO QUIMICO 4KG FORNECIMENTO E COLOCACAO</v>
      </c>
      <c r="C147" s="54" t="str">
        <f>Planilha!D150</f>
        <v xml:space="preserve">UN </v>
      </c>
      <c r="D147" s="55">
        <v>1</v>
      </c>
      <c r="E147" s="179" t="s">
        <v>146</v>
      </c>
    </row>
    <row r="148" spans="1:5" s="56" customFormat="1" x14ac:dyDescent="0.25">
      <c r="A148" s="53" t="str">
        <f>Planilha!A151</f>
        <v>6.17</v>
      </c>
      <c r="B148" s="59" t="str">
        <f>Planilha!C151</f>
        <v>OBRAS OU SERVIÇOS PADRONIZADOS</v>
      </c>
      <c r="C148" s="54"/>
      <c r="D148" s="55"/>
      <c r="E148" s="179"/>
    </row>
    <row r="149" spans="1:5" s="56" customFormat="1" ht="26.4" x14ac:dyDescent="0.25">
      <c r="A149" s="53" t="str">
        <f>Planilha!A152</f>
        <v>6.17.1</v>
      </c>
      <c r="B149" s="59" t="str">
        <f>Planilha!C152</f>
        <v>LIXEIRAS EM POLIETILENO EM ALTA DENSIDADE FIXADO EM ESTRUTURA METÁLICA E CHUMBADA NO CHÃO, CAPACIDADE 50 LTS CADA</v>
      </c>
      <c r="C149" s="54" t="str">
        <f>Planilha!D152</f>
        <v xml:space="preserve">UN </v>
      </c>
      <c r="D149" s="55">
        <v>13</v>
      </c>
      <c r="E149" s="179" t="s">
        <v>146</v>
      </c>
    </row>
    <row r="150" spans="1:5" s="283" customFormat="1" x14ac:dyDescent="0.25">
      <c r="A150" s="57" t="str">
        <f>Planilha!A153</f>
        <v>6.18</v>
      </c>
      <c r="B150" s="58" t="str">
        <f>Planilha!C153</f>
        <v>URBANIZAÇÃO</v>
      </c>
      <c r="C150" s="280"/>
      <c r="D150" s="281"/>
      <c r="E150" s="282"/>
    </row>
    <row r="151" spans="1:5" s="56" customFormat="1" x14ac:dyDescent="0.25">
      <c r="A151" s="53" t="str">
        <f>Planilha!A154</f>
        <v>6.18.1</v>
      </c>
      <c r="B151" s="59" t="str">
        <f>Planilha!C154</f>
        <v>PLANTIO DE ARVORE, ALTURA DE 1,00M, EM CAVAS DE 80X80X80CM</v>
      </c>
      <c r="C151" s="54" t="str">
        <f>Planilha!D154</f>
        <v xml:space="preserve">UN </v>
      </c>
      <c r="D151" s="55">
        <v>10</v>
      </c>
      <c r="E151" s="179" t="s">
        <v>146</v>
      </c>
    </row>
    <row r="152" spans="1:5" s="56" customFormat="1" x14ac:dyDescent="0.25">
      <c r="A152" s="53" t="str">
        <f>Planilha!A155</f>
        <v>6.18.2</v>
      </c>
      <c r="B152" s="59" t="str">
        <f>Planilha!C155</f>
        <v>GRAMA BATATAIS EM PLACAS</v>
      </c>
      <c r="C152" s="54" t="str">
        <f>Planilha!D155</f>
        <v>M²</v>
      </c>
      <c r="D152" s="55">
        <v>500</v>
      </c>
      <c r="E152" s="179" t="s">
        <v>466</v>
      </c>
    </row>
    <row r="153" spans="1:5" s="283" customFormat="1" x14ac:dyDescent="0.25">
      <c r="A153" s="57" t="str">
        <f>Planilha!A156</f>
        <v>6.19</v>
      </c>
      <c r="B153" s="58" t="str">
        <f>Planilha!C156</f>
        <v>LIMPEZA</v>
      </c>
      <c r="C153" s="280"/>
      <c r="D153" s="281"/>
      <c r="E153" s="282"/>
    </row>
    <row r="154" spans="1:5" s="56" customFormat="1" x14ac:dyDescent="0.25">
      <c r="A154" s="53" t="str">
        <f>Planilha!A157</f>
        <v>6.19.1</v>
      </c>
      <c r="B154" s="59" t="str">
        <f>Planilha!C157</f>
        <v xml:space="preserve">LIMPEZA FINAL DA OBRA </v>
      </c>
      <c r="C154" s="54" t="str">
        <f>Planilha!D157</f>
        <v>M²</v>
      </c>
      <c r="D154" s="55">
        <v>68.599999999999994</v>
      </c>
      <c r="E154" s="179" t="s">
        <v>407</v>
      </c>
    </row>
    <row r="155" spans="1:5" s="56" customFormat="1" x14ac:dyDescent="0.25">
      <c r="A155" s="53"/>
      <c r="B155" s="59"/>
      <c r="C155" s="54"/>
      <c r="D155" s="55"/>
      <c r="E155" s="179"/>
    </row>
    <row r="156" spans="1:5" s="41" customFormat="1" x14ac:dyDescent="0.25">
      <c r="A156" s="178" t="str">
        <f>Planilha!A159</f>
        <v>7.0</v>
      </c>
      <c r="B156" s="50" t="str">
        <f>Planilha!C159</f>
        <v>CERCAMENTO DA ÁREA DO BALNEÁRIO</v>
      </c>
      <c r="C156" s="51"/>
      <c r="D156" s="52"/>
      <c r="E156" s="177"/>
    </row>
    <row r="157" spans="1:5" s="56" customFormat="1" ht="26.4" x14ac:dyDescent="0.25">
      <c r="A157" s="53" t="str">
        <f>Planilha!A160</f>
        <v>7.1</v>
      </c>
      <c r="B157" s="59" t="str">
        <f>Planilha!C160</f>
        <v>CERCA COM MOUROES DE CONCRETO, SECAO "T" PONTA INCLINADA, 10X10CM, ESPACAMENTO DE 3M, CRAVADOS 0,5M, COM 11 FIOS DE ARAME FARPADO Nº 16</v>
      </c>
      <c r="C157" s="54" t="str">
        <f>Planilha!D160</f>
        <v>M</v>
      </c>
      <c r="D157" s="55">
        <v>368.46</v>
      </c>
      <c r="E157" s="179" t="s">
        <v>559</v>
      </c>
    </row>
    <row r="158" spans="1:5" s="56" customFormat="1" ht="26.4" x14ac:dyDescent="0.25">
      <c r="A158" s="53" t="str">
        <f>Planilha!A161</f>
        <v>7.2</v>
      </c>
      <c r="B158" s="59" t="str">
        <f>Planilha!C161</f>
        <v>PORTAO EM TELA ARAME GALVANIZADO N.12 MALHA 2" E MOLDURA EM TUBOS DE ACO COM DUAS FOLHAS DE ABRIR, INCLUSO FERRAGENS</v>
      </c>
      <c r="C158" s="54" t="str">
        <f>Planilha!D161</f>
        <v>M²</v>
      </c>
      <c r="D158" s="55">
        <f>1.2*2*2+4*2</f>
        <v>12.8</v>
      </c>
      <c r="E158" s="179" t="s">
        <v>442</v>
      </c>
    </row>
    <row r="159" spans="1:5" s="56" customFormat="1" x14ac:dyDescent="0.25">
      <c r="A159" s="53" t="str">
        <f>Planilha!A162</f>
        <v>7.3</v>
      </c>
      <c r="B159" s="59" t="str">
        <f>Planilha!C162</f>
        <v>PINTURA ESMALTE 2 DEMAOS C/1 DEMAO ZARCAO P/ESQUADRIA FERRO</v>
      </c>
      <c r="C159" s="54" t="str">
        <f>Planilha!D162</f>
        <v>M²</v>
      </c>
      <c r="D159" s="55">
        <f>D158*2</f>
        <v>25.6</v>
      </c>
      <c r="E159" s="179" t="s">
        <v>467</v>
      </c>
    </row>
    <row r="160" spans="1:5" ht="13.8" thickBot="1" x14ac:dyDescent="0.3">
      <c r="A160" s="172"/>
      <c r="B160" s="173"/>
      <c r="C160" s="174"/>
      <c r="D160" s="175"/>
      <c r="E160" s="176"/>
    </row>
    <row r="161" spans="1:4" x14ac:dyDescent="0.25">
      <c r="A161" s="10"/>
      <c r="B161" s="48"/>
      <c r="C161" s="10"/>
    </row>
    <row r="162" spans="1:4" x14ac:dyDescent="0.25">
      <c r="A162" s="10"/>
      <c r="B162" s="48"/>
      <c r="C162" s="10"/>
    </row>
    <row r="163" spans="1:4" x14ac:dyDescent="0.25">
      <c r="A163" s="10"/>
      <c r="B163" s="48"/>
      <c r="C163" s="10"/>
    </row>
    <row r="164" spans="1:4" x14ac:dyDescent="0.25">
      <c r="A164" s="10"/>
      <c r="B164" s="48"/>
      <c r="C164" s="10"/>
    </row>
    <row r="165" spans="1:4" x14ac:dyDescent="0.25">
      <c r="A165" s="10"/>
      <c r="B165" s="48"/>
      <c r="C165" s="10"/>
    </row>
    <row r="166" spans="1:4" x14ac:dyDescent="0.25">
      <c r="A166" s="10"/>
      <c r="B166" s="48"/>
      <c r="C166" s="10"/>
    </row>
    <row r="167" spans="1:4" x14ac:dyDescent="0.25">
      <c r="A167" s="29"/>
      <c r="B167" s="49" t="s">
        <v>29</v>
      </c>
      <c r="C167" s="28"/>
      <c r="D167" s="38"/>
    </row>
    <row r="168" spans="1:4" ht="12.75" customHeight="1" x14ac:dyDescent="0.25">
      <c r="A168" s="1"/>
      <c r="B168" s="30" t="s">
        <v>62</v>
      </c>
      <c r="C168" s="2"/>
      <c r="D168" s="39"/>
    </row>
    <row r="169" spans="1:4" x14ac:dyDescent="0.25">
      <c r="A169" s="29"/>
      <c r="B169" s="49" t="s">
        <v>63</v>
      </c>
      <c r="C169" s="28"/>
      <c r="D169" s="38"/>
    </row>
  </sheetData>
  <mergeCells count="7">
    <mergeCell ref="A6:E6"/>
    <mergeCell ref="D7:D8"/>
    <mergeCell ref="E7:E8"/>
    <mergeCell ref="A2:D5"/>
    <mergeCell ref="A7:A8"/>
    <mergeCell ref="B7:B8"/>
    <mergeCell ref="C7:C8"/>
  </mergeCells>
  <printOptions horizontalCentered="1"/>
  <pageMargins left="0.19685039370078741" right="0.19685039370078741" top="0.59055118110236227" bottom="0.39370078740157483" header="0.31496062992125984" footer="0.31496062992125984"/>
  <pageSetup paperSize="9" scale="7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T70"/>
  <sheetViews>
    <sheetView zoomScaleNormal="100" workbookViewId="0">
      <selection activeCell="E73" sqref="E73"/>
    </sheetView>
  </sheetViews>
  <sheetFormatPr defaultColWidth="11.44140625" defaultRowHeight="13.2" x14ac:dyDescent="0.25"/>
  <cols>
    <col min="1" max="1" width="9.88671875" style="62" customWidth="1"/>
    <col min="2" max="2" width="42.109375" style="62" customWidth="1"/>
    <col min="3" max="4" width="11.33203125" style="121" customWidth="1"/>
    <col min="5" max="5" width="9.6640625" style="168" customWidth="1"/>
    <col min="6" max="6" width="11.33203125" style="62" customWidth="1"/>
    <col min="7" max="7" width="11.33203125" style="121" customWidth="1"/>
    <col min="8" max="8" width="10" style="121" customWidth="1"/>
    <col min="9" max="46" width="11.44140625" style="62" customWidth="1"/>
    <col min="47" max="256" width="11.44140625" style="63"/>
    <col min="257" max="257" width="9.88671875" style="63" customWidth="1"/>
    <col min="258" max="258" width="42.109375" style="63" customWidth="1"/>
    <col min="259" max="260" width="11.33203125" style="63" customWidth="1"/>
    <col min="261" max="261" width="9.6640625" style="63" customWidth="1"/>
    <col min="262" max="263" width="11.33203125" style="63" customWidth="1"/>
    <col min="264" max="264" width="10" style="63" customWidth="1"/>
    <col min="265" max="302" width="11.44140625" style="63" customWidth="1"/>
    <col min="303" max="512" width="11.44140625" style="63"/>
    <col min="513" max="513" width="9.88671875" style="63" customWidth="1"/>
    <col min="514" max="514" width="42.109375" style="63" customWidth="1"/>
    <col min="515" max="516" width="11.33203125" style="63" customWidth="1"/>
    <col min="517" max="517" width="9.6640625" style="63" customWidth="1"/>
    <col min="518" max="519" width="11.33203125" style="63" customWidth="1"/>
    <col min="520" max="520" width="10" style="63" customWidth="1"/>
    <col min="521" max="558" width="11.44140625" style="63" customWidth="1"/>
    <col min="559" max="768" width="11.44140625" style="63"/>
    <col min="769" max="769" width="9.88671875" style="63" customWidth="1"/>
    <col min="770" max="770" width="42.109375" style="63" customWidth="1"/>
    <col min="771" max="772" width="11.33203125" style="63" customWidth="1"/>
    <col min="773" max="773" width="9.6640625" style="63" customWidth="1"/>
    <col min="774" max="775" width="11.33203125" style="63" customWidth="1"/>
    <col min="776" max="776" width="10" style="63" customWidth="1"/>
    <col min="777" max="814" width="11.44140625" style="63" customWidth="1"/>
    <col min="815" max="1024" width="11.44140625" style="63"/>
    <col min="1025" max="1025" width="9.88671875" style="63" customWidth="1"/>
    <col min="1026" max="1026" width="42.109375" style="63" customWidth="1"/>
    <col min="1027" max="1028" width="11.33203125" style="63" customWidth="1"/>
    <col min="1029" max="1029" width="9.6640625" style="63" customWidth="1"/>
    <col min="1030" max="1031" width="11.33203125" style="63" customWidth="1"/>
    <col min="1032" max="1032" width="10" style="63" customWidth="1"/>
    <col min="1033" max="1070" width="11.44140625" style="63" customWidth="1"/>
    <col min="1071" max="1280" width="11.44140625" style="63"/>
    <col min="1281" max="1281" width="9.88671875" style="63" customWidth="1"/>
    <col min="1282" max="1282" width="42.109375" style="63" customWidth="1"/>
    <col min="1283" max="1284" width="11.33203125" style="63" customWidth="1"/>
    <col min="1285" max="1285" width="9.6640625" style="63" customWidth="1"/>
    <col min="1286" max="1287" width="11.33203125" style="63" customWidth="1"/>
    <col min="1288" max="1288" width="10" style="63" customWidth="1"/>
    <col min="1289" max="1326" width="11.44140625" style="63" customWidth="1"/>
    <col min="1327" max="1536" width="11.44140625" style="63"/>
    <col min="1537" max="1537" width="9.88671875" style="63" customWidth="1"/>
    <col min="1538" max="1538" width="42.109375" style="63" customWidth="1"/>
    <col min="1539" max="1540" width="11.33203125" style="63" customWidth="1"/>
    <col min="1541" max="1541" width="9.6640625" style="63" customWidth="1"/>
    <col min="1542" max="1543" width="11.33203125" style="63" customWidth="1"/>
    <col min="1544" max="1544" width="10" style="63" customWidth="1"/>
    <col min="1545" max="1582" width="11.44140625" style="63" customWidth="1"/>
    <col min="1583" max="1792" width="11.44140625" style="63"/>
    <col min="1793" max="1793" width="9.88671875" style="63" customWidth="1"/>
    <col min="1794" max="1794" width="42.109375" style="63" customWidth="1"/>
    <col min="1795" max="1796" width="11.33203125" style="63" customWidth="1"/>
    <col min="1797" max="1797" width="9.6640625" style="63" customWidth="1"/>
    <col min="1798" max="1799" width="11.33203125" style="63" customWidth="1"/>
    <col min="1800" max="1800" width="10" style="63" customWidth="1"/>
    <col min="1801" max="1838" width="11.44140625" style="63" customWidth="1"/>
    <col min="1839" max="2048" width="11.44140625" style="63"/>
    <col min="2049" max="2049" width="9.88671875" style="63" customWidth="1"/>
    <col min="2050" max="2050" width="42.109375" style="63" customWidth="1"/>
    <col min="2051" max="2052" width="11.33203125" style="63" customWidth="1"/>
    <col min="2053" max="2053" width="9.6640625" style="63" customWidth="1"/>
    <col min="2054" max="2055" width="11.33203125" style="63" customWidth="1"/>
    <col min="2056" max="2056" width="10" style="63" customWidth="1"/>
    <col min="2057" max="2094" width="11.44140625" style="63" customWidth="1"/>
    <col min="2095" max="2304" width="11.44140625" style="63"/>
    <col min="2305" max="2305" width="9.88671875" style="63" customWidth="1"/>
    <col min="2306" max="2306" width="42.109375" style="63" customWidth="1"/>
    <col min="2307" max="2308" width="11.33203125" style="63" customWidth="1"/>
    <col min="2309" max="2309" width="9.6640625" style="63" customWidth="1"/>
    <col min="2310" max="2311" width="11.33203125" style="63" customWidth="1"/>
    <col min="2312" max="2312" width="10" style="63" customWidth="1"/>
    <col min="2313" max="2350" width="11.44140625" style="63" customWidth="1"/>
    <col min="2351" max="2560" width="11.44140625" style="63"/>
    <col min="2561" max="2561" width="9.88671875" style="63" customWidth="1"/>
    <col min="2562" max="2562" width="42.109375" style="63" customWidth="1"/>
    <col min="2563" max="2564" width="11.33203125" style="63" customWidth="1"/>
    <col min="2565" max="2565" width="9.6640625" style="63" customWidth="1"/>
    <col min="2566" max="2567" width="11.33203125" style="63" customWidth="1"/>
    <col min="2568" max="2568" width="10" style="63" customWidth="1"/>
    <col min="2569" max="2606" width="11.44140625" style="63" customWidth="1"/>
    <col min="2607" max="2816" width="11.44140625" style="63"/>
    <col min="2817" max="2817" width="9.88671875" style="63" customWidth="1"/>
    <col min="2818" max="2818" width="42.109375" style="63" customWidth="1"/>
    <col min="2819" max="2820" width="11.33203125" style="63" customWidth="1"/>
    <col min="2821" max="2821" width="9.6640625" style="63" customWidth="1"/>
    <col min="2822" max="2823" width="11.33203125" style="63" customWidth="1"/>
    <col min="2824" max="2824" width="10" style="63" customWidth="1"/>
    <col min="2825" max="2862" width="11.44140625" style="63" customWidth="1"/>
    <col min="2863" max="3072" width="11.44140625" style="63"/>
    <col min="3073" max="3073" width="9.88671875" style="63" customWidth="1"/>
    <col min="3074" max="3074" width="42.109375" style="63" customWidth="1"/>
    <col min="3075" max="3076" width="11.33203125" style="63" customWidth="1"/>
    <col min="3077" max="3077" width="9.6640625" style="63" customWidth="1"/>
    <col min="3078" max="3079" width="11.33203125" style="63" customWidth="1"/>
    <col min="3080" max="3080" width="10" style="63" customWidth="1"/>
    <col min="3081" max="3118" width="11.44140625" style="63" customWidth="1"/>
    <col min="3119" max="3328" width="11.44140625" style="63"/>
    <col min="3329" max="3329" width="9.88671875" style="63" customWidth="1"/>
    <col min="3330" max="3330" width="42.109375" style="63" customWidth="1"/>
    <col min="3331" max="3332" width="11.33203125" style="63" customWidth="1"/>
    <col min="3333" max="3333" width="9.6640625" style="63" customWidth="1"/>
    <col min="3334" max="3335" width="11.33203125" style="63" customWidth="1"/>
    <col min="3336" max="3336" width="10" style="63" customWidth="1"/>
    <col min="3337" max="3374" width="11.44140625" style="63" customWidth="1"/>
    <col min="3375" max="3584" width="11.44140625" style="63"/>
    <col min="3585" max="3585" width="9.88671875" style="63" customWidth="1"/>
    <col min="3586" max="3586" width="42.109375" style="63" customWidth="1"/>
    <col min="3587" max="3588" width="11.33203125" style="63" customWidth="1"/>
    <col min="3589" max="3589" width="9.6640625" style="63" customWidth="1"/>
    <col min="3590" max="3591" width="11.33203125" style="63" customWidth="1"/>
    <col min="3592" max="3592" width="10" style="63" customWidth="1"/>
    <col min="3593" max="3630" width="11.44140625" style="63" customWidth="1"/>
    <col min="3631" max="3840" width="11.44140625" style="63"/>
    <col min="3841" max="3841" width="9.88671875" style="63" customWidth="1"/>
    <col min="3842" max="3842" width="42.109375" style="63" customWidth="1"/>
    <col min="3843" max="3844" width="11.33203125" style="63" customWidth="1"/>
    <col min="3845" max="3845" width="9.6640625" style="63" customWidth="1"/>
    <col min="3846" max="3847" width="11.33203125" style="63" customWidth="1"/>
    <col min="3848" max="3848" width="10" style="63" customWidth="1"/>
    <col min="3849" max="3886" width="11.44140625" style="63" customWidth="1"/>
    <col min="3887" max="4096" width="11.44140625" style="63"/>
    <col min="4097" max="4097" width="9.88671875" style="63" customWidth="1"/>
    <col min="4098" max="4098" width="42.109375" style="63" customWidth="1"/>
    <col min="4099" max="4100" width="11.33203125" style="63" customWidth="1"/>
    <col min="4101" max="4101" width="9.6640625" style="63" customWidth="1"/>
    <col min="4102" max="4103" width="11.33203125" style="63" customWidth="1"/>
    <col min="4104" max="4104" width="10" style="63" customWidth="1"/>
    <col min="4105" max="4142" width="11.44140625" style="63" customWidth="1"/>
    <col min="4143" max="4352" width="11.44140625" style="63"/>
    <col min="4353" max="4353" width="9.88671875" style="63" customWidth="1"/>
    <col min="4354" max="4354" width="42.109375" style="63" customWidth="1"/>
    <col min="4355" max="4356" width="11.33203125" style="63" customWidth="1"/>
    <col min="4357" max="4357" width="9.6640625" style="63" customWidth="1"/>
    <col min="4358" max="4359" width="11.33203125" style="63" customWidth="1"/>
    <col min="4360" max="4360" width="10" style="63" customWidth="1"/>
    <col min="4361" max="4398" width="11.44140625" style="63" customWidth="1"/>
    <col min="4399" max="4608" width="11.44140625" style="63"/>
    <col min="4609" max="4609" width="9.88671875" style="63" customWidth="1"/>
    <col min="4610" max="4610" width="42.109375" style="63" customWidth="1"/>
    <col min="4611" max="4612" width="11.33203125" style="63" customWidth="1"/>
    <col min="4613" max="4613" width="9.6640625" style="63" customWidth="1"/>
    <col min="4614" max="4615" width="11.33203125" style="63" customWidth="1"/>
    <col min="4616" max="4616" width="10" style="63" customWidth="1"/>
    <col min="4617" max="4654" width="11.44140625" style="63" customWidth="1"/>
    <col min="4655" max="4864" width="11.44140625" style="63"/>
    <col min="4865" max="4865" width="9.88671875" style="63" customWidth="1"/>
    <col min="4866" max="4866" width="42.109375" style="63" customWidth="1"/>
    <col min="4867" max="4868" width="11.33203125" style="63" customWidth="1"/>
    <col min="4869" max="4869" width="9.6640625" style="63" customWidth="1"/>
    <col min="4870" max="4871" width="11.33203125" style="63" customWidth="1"/>
    <col min="4872" max="4872" width="10" style="63" customWidth="1"/>
    <col min="4873" max="4910" width="11.44140625" style="63" customWidth="1"/>
    <col min="4911" max="5120" width="11.44140625" style="63"/>
    <col min="5121" max="5121" width="9.88671875" style="63" customWidth="1"/>
    <col min="5122" max="5122" width="42.109375" style="63" customWidth="1"/>
    <col min="5123" max="5124" width="11.33203125" style="63" customWidth="1"/>
    <col min="5125" max="5125" width="9.6640625" style="63" customWidth="1"/>
    <col min="5126" max="5127" width="11.33203125" style="63" customWidth="1"/>
    <col min="5128" max="5128" width="10" style="63" customWidth="1"/>
    <col min="5129" max="5166" width="11.44140625" style="63" customWidth="1"/>
    <col min="5167" max="5376" width="11.44140625" style="63"/>
    <col min="5377" max="5377" width="9.88671875" style="63" customWidth="1"/>
    <col min="5378" max="5378" width="42.109375" style="63" customWidth="1"/>
    <col min="5379" max="5380" width="11.33203125" style="63" customWidth="1"/>
    <col min="5381" max="5381" width="9.6640625" style="63" customWidth="1"/>
    <col min="5382" max="5383" width="11.33203125" style="63" customWidth="1"/>
    <col min="5384" max="5384" width="10" style="63" customWidth="1"/>
    <col min="5385" max="5422" width="11.44140625" style="63" customWidth="1"/>
    <col min="5423" max="5632" width="11.44140625" style="63"/>
    <col min="5633" max="5633" width="9.88671875" style="63" customWidth="1"/>
    <col min="5634" max="5634" width="42.109375" style="63" customWidth="1"/>
    <col min="5635" max="5636" width="11.33203125" style="63" customWidth="1"/>
    <col min="5637" max="5637" width="9.6640625" style="63" customWidth="1"/>
    <col min="5638" max="5639" width="11.33203125" style="63" customWidth="1"/>
    <col min="5640" max="5640" width="10" style="63" customWidth="1"/>
    <col min="5641" max="5678" width="11.44140625" style="63" customWidth="1"/>
    <col min="5679" max="5888" width="11.44140625" style="63"/>
    <col min="5889" max="5889" width="9.88671875" style="63" customWidth="1"/>
    <col min="5890" max="5890" width="42.109375" style="63" customWidth="1"/>
    <col min="5891" max="5892" width="11.33203125" style="63" customWidth="1"/>
    <col min="5893" max="5893" width="9.6640625" style="63" customWidth="1"/>
    <col min="5894" max="5895" width="11.33203125" style="63" customWidth="1"/>
    <col min="5896" max="5896" width="10" style="63" customWidth="1"/>
    <col min="5897" max="5934" width="11.44140625" style="63" customWidth="1"/>
    <col min="5935" max="6144" width="11.44140625" style="63"/>
    <col min="6145" max="6145" width="9.88671875" style="63" customWidth="1"/>
    <col min="6146" max="6146" width="42.109375" style="63" customWidth="1"/>
    <col min="6147" max="6148" width="11.33203125" style="63" customWidth="1"/>
    <col min="6149" max="6149" width="9.6640625" style="63" customWidth="1"/>
    <col min="6150" max="6151" width="11.33203125" style="63" customWidth="1"/>
    <col min="6152" max="6152" width="10" style="63" customWidth="1"/>
    <col min="6153" max="6190" width="11.44140625" style="63" customWidth="1"/>
    <col min="6191" max="6400" width="11.44140625" style="63"/>
    <col min="6401" max="6401" width="9.88671875" style="63" customWidth="1"/>
    <col min="6402" max="6402" width="42.109375" style="63" customWidth="1"/>
    <col min="6403" max="6404" width="11.33203125" style="63" customWidth="1"/>
    <col min="6405" max="6405" width="9.6640625" style="63" customWidth="1"/>
    <col min="6406" max="6407" width="11.33203125" style="63" customWidth="1"/>
    <col min="6408" max="6408" width="10" style="63" customWidth="1"/>
    <col min="6409" max="6446" width="11.44140625" style="63" customWidth="1"/>
    <col min="6447" max="6656" width="11.44140625" style="63"/>
    <col min="6657" max="6657" width="9.88671875" style="63" customWidth="1"/>
    <col min="6658" max="6658" width="42.109375" style="63" customWidth="1"/>
    <col min="6659" max="6660" width="11.33203125" style="63" customWidth="1"/>
    <col min="6661" max="6661" width="9.6640625" style="63" customWidth="1"/>
    <col min="6662" max="6663" width="11.33203125" style="63" customWidth="1"/>
    <col min="6664" max="6664" width="10" style="63" customWidth="1"/>
    <col min="6665" max="6702" width="11.44140625" style="63" customWidth="1"/>
    <col min="6703" max="6912" width="11.44140625" style="63"/>
    <col min="6913" max="6913" width="9.88671875" style="63" customWidth="1"/>
    <col min="6914" max="6914" width="42.109375" style="63" customWidth="1"/>
    <col min="6915" max="6916" width="11.33203125" style="63" customWidth="1"/>
    <col min="6917" max="6917" width="9.6640625" style="63" customWidth="1"/>
    <col min="6918" max="6919" width="11.33203125" style="63" customWidth="1"/>
    <col min="6920" max="6920" width="10" style="63" customWidth="1"/>
    <col min="6921" max="6958" width="11.44140625" style="63" customWidth="1"/>
    <col min="6959" max="7168" width="11.44140625" style="63"/>
    <col min="7169" max="7169" width="9.88671875" style="63" customWidth="1"/>
    <col min="7170" max="7170" width="42.109375" style="63" customWidth="1"/>
    <col min="7171" max="7172" width="11.33203125" style="63" customWidth="1"/>
    <col min="7173" max="7173" width="9.6640625" style="63" customWidth="1"/>
    <col min="7174" max="7175" width="11.33203125" style="63" customWidth="1"/>
    <col min="7176" max="7176" width="10" style="63" customWidth="1"/>
    <col min="7177" max="7214" width="11.44140625" style="63" customWidth="1"/>
    <col min="7215" max="7424" width="11.44140625" style="63"/>
    <col min="7425" max="7425" width="9.88671875" style="63" customWidth="1"/>
    <col min="7426" max="7426" width="42.109375" style="63" customWidth="1"/>
    <col min="7427" max="7428" width="11.33203125" style="63" customWidth="1"/>
    <col min="7429" max="7429" width="9.6640625" style="63" customWidth="1"/>
    <col min="7430" max="7431" width="11.33203125" style="63" customWidth="1"/>
    <col min="7432" max="7432" width="10" style="63" customWidth="1"/>
    <col min="7433" max="7470" width="11.44140625" style="63" customWidth="1"/>
    <col min="7471" max="7680" width="11.44140625" style="63"/>
    <col min="7681" max="7681" width="9.88671875" style="63" customWidth="1"/>
    <col min="7682" max="7682" width="42.109375" style="63" customWidth="1"/>
    <col min="7683" max="7684" width="11.33203125" style="63" customWidth="1"/>
    <col min="7685" max="7685" width="9.6640625" style="63" customWidth="1"/>
    <col min="7686" max="7687" width="11.33203125" style="63" customWidth="1"/>
    <col min="7688" max="7688" width="10" style="63" customWidth="1"/>
    <col min="7689" max="7726" width="11.44140625" style="63" customWidth="1"/>
    <col min="7727" max="7936" width="11.44140625" style="63"/>
    <col min="7937" max="7937" width="9.88671875" style="63" customWidth="1"/>
    <col min="7938" max="7938" width="42.109375" style="63" customWidth="1"/>
    <col min="7939" max="7940" width="11.33203125" style="63" customWidth="1"/>
    <col min="7941" max="7941" width="9.6640625" style="63" customWidth="1"/>
    <col min="7942" max="7943" width="11.33203125" style="63" customWidth="1"/>
    <col min="7944" max="7944" width="10" style="63" customWidth="1"/>
    <col min="7945" max="7982" width="11.44140625" style="63" customWidth="1"/>
    <col min="7983" max="8192" width="11.44140625" style="63"/>
    <col min="8193" max="8193" width="9.88671875" style="63" customWidth="1"/>
    <col min="8194" max="8194" width="42.109375" style="63" customWidth="1"/>
    <col min="8195" max="8196" width="11.33203125" style="63" customWidth="1"/>
    <col min="8197" max="8197" width="9.6640625" style="63" customWidth="1"/>
    <col min="8198" max="8199" width="11.33203125" style="63" customWidth="1"/>
    <col min="8200" max="8200" width="10" style="63" customWidth="1"/>
    <col min="8201" max="8238" width="11.44140625" style="63" customWidth="1"/>
    <col min="8239" max="8448" width="11.44140625" style="63"/>
    <col min="8449" max="8449" width="9.88671875" style="63" customWidth="1"/>
    <col min="8450" max="8450" width="42.109375" style="63" customWidth="1"/>
    <col min="8451" max="8452" width="11.33203125" style="63" customWidth="1"/>
    <col min="8453" max="8453" width="9.6640625" style="63" customWidth="1"/>
    <col min="8454" max="8455" width="11.33203125" style="63" customWidth="1"/>
    <col min="8456" max="8456" width="10" style="63" customWidth="1"/>
    <col min="8457" max="8494" width="11.44140625" style="63" customWidth="1"/>
    <col min="8495" max="8704" width="11.44140625" style="63"/>
    <col min="8705" max="8705" width="9.88671875" style="63" customWidth="1"/>
    <col min="8706" max="8706" width="42.109375" style="63" customWidth="1"/>
    <col min="8707" max="8708" width="11.33203125" style="63" customWidth="1"/>
    <col min="8709" max="8709" width="9.6640625" style="63" customWidth="1"/>
    <col min="8710" max="8711" width="11.33203125" style="63" customWidth="1"/>
    <col min="8712" max="8712" width="10" style="63" customWidth="1"/>
    <col min="8713" max="8750" width="11.44140625" style="63" customWidth="1"/>
    <col min="8751" max="8960" width="11.44140625" style="63"/>
    <col min="8961" max="8961" width="9.88671875" style="63" customWidth="1"/>
    <col min="8962" max="8962" width="42.109375" style="63" customWidth="1"/>
    <col min="8963" max="8964" width="11.33203125" style="63" customWidth="1"/>
    <col min="8965" max="8965" width="9.6640625" style="63" customWidth="1"/>
    <col min="8966" max="8967" width="11.33203125" style="63" customWidth="1"/>
    <col min="8968" max="8968" width="10" style="63" customWidth="1"/>
    <col min="8969" max="9006" width="11.44140625" style="63" customWidth="1"/>
    <col min="9007" max="9216" width="11.44140625" style="63"/>
    <col min="9217" max="9217" width="9.88671875" style="63" customWidth="1"/>
    <col min="9218" max="9218" width="42.109375" style="63" customWidth="1"/>
    <col min="9219" max="9220" width="11.33203125" style="63" customWidth="1"/>
    <col min="9221" max="9221" width="9.6640625" style="63" customWidth="1"/>
    <col min="9222" max="9223" width="11.33203125" style="63" customWidth="1"/>
    <col min="9224" max="9224" width="10" style="63" customWidth="1"/>
    <col min="9225" max="9262" width="11.44140625" style="63" customWidth="1"/>
    <col min="9263" max="9472" width="11.44140625" style="63"/>
    <col min="9473" max="9473" width="9.88671875" style="63" customWidth="1"/>
    <col min="9474" max="9474" width="42.109375" style="63" customWidth="1"/>
    <col min="9475" max="9476" width="11.33203125" style="63" customWidth="1"/>
    <col min="9477" max="9477" width="9.6640625" style="63" customWidth="1"/>
    <col min="9478" max="9479" width="11.33203125" style="63" customWidth="1"/>
    <col min="9480" max="9480" width="10" style="63" customWidth="1"/>
    <col min="9481" max="9518" width="11.44140625" style="63" customWidth="1"/>
    <col min="9519" max="9728" width="11.44140625" style="63"/>
    <col min="9729" max="9729" width="9.88671875" style="63" customWidth="1"/>
    <col min="9730" max="9730" width="42.109375" style="63" customWidth="1"/>
    <col min="9731" max="9732" width="11.33203125" style="63" customWidth="1"/>
    <col min="9733" max="9733" width="9.6640625" style="63" customWidth="1"/>
    <col min="9734" max="9735" width="11.33203125" style="63" customWidth="1"/>
    <col min="9736" max="9736" width="10" style="63" customWidth="1"/>
    <col min="9737" max="9774" width="11.44140625" style="63" customWidth="1"/>
    <col min="9775" max="9984" width="11.44140625" style="63"/>
    <col min="9985" max="9985" width="9.88671875" style="63" customWidth="1"/>
    <col min="9986" max="9986" width="42.109375" style="63" customWidth="1"/>
    <col min="9987" max="9988" width="11.33203125" style="63" customWidth="1"/>
    <col min="9989" max="9989" width="9.6640625" style="63" customWidth="1"/>
    <col min="9990" max="9991" width="11.33203125" style="63" customWidth="1"/>
    <col min="9992" max="9992" width="10" style="63" customWidth="1"/>
    <col min="9993" max="10030" width="11.44140625" style="63" customWidth="1"/>
    <col min="10031" max="10240" width="11.44140625" style="63"/>
    <col min="10241" max="10241" width="9.88671875" style="63" customWidth="1"/>
    <col min="10242" max="10242" width="42.109375" style="63" customWidth="1"/>
    <col min="10243" max="10244" width="11.33203125" style="63" customWidth="1"/>
    <col min="10245" max="10245" width="9.6640625" style="63" customWidth="1"/>
    <col min="10246" max="10247" width="11.33203125" style="63" customWidth="1"/>
    <col min="10248" max="10248" width="10" style="63" customWidth="1"/>
    <col min="10249" max="10286" width="11.44140625" style="63" customWidth="1"/>
    <col min="10287" max="10496" width="11.44140625" style="63"/>
    <col min="10497" max="10497" width="9.88671875" style="63" customWidth="1"/>
    <col min="10498" max="10498" width="42.109375" style="63" customWidth="1"/>
    <col min="10499" max="10500" width="11.33203125" style="63" customWidth="1"/>
    <col min="10501" max="10501" width="9.6640625" style="63" customWidth="1"/>
    <col min="10502" max="10503" width="11.33203125" style="63" customWidth="1"/>
    <col min="10504" max="10504" width="10" style="63" customWidth="1"/>
    <col min="10505" max="10542" width="11.44140625" style="63" customWidth="1"/>
    <col min="10543" max="10752" width="11.44140625" style="63"/>
    <col min="10753" max="10753" width="9.88671875" style="63" customWidth="1"/>
    <col min="10754" max="10754" width="42.109375" style="63" customWidth="1"/>
    <col min="10755" max="10756" width="11.33203125" style="63" customWidth="1"/>
    <col min="10757" max="10757" width="9.6640625" style="63" customWidth="1"/>
    <col min="10758" max="10759" width="11.33203125" style="63" customWidth="1"/>
    <col min="10760" max="10760" width="10" style="63" customWidth="1"/>
    <col min="10761" max="10798" width="11.44140625" style="63" customWidth="1"/>
    <col min="10799" max="11008" width="11.44140625" style="63"/>
    <col min="11009" max="11009" width="9.88671875" style="63" customWidth="1"/>
    <col min="11010" max="11010" width="42.109375" style="63" customWidth="1"/>
    <col min="11011" max="11012" width="11.33203125" style="63" customWidth="1"/>
    <col min="11013" max="11013" width="9.6640625" style="63" customWidth="1"/>
    <col min="11014" max="11015" width="11.33203125" style="63" customWidth="1"/>
    <col min="11016" max="11016" width="10" style="63" customWidth="1"/>
    <col min="11017" max="11054" width="11.44140625" style="63" customWidth="1"/>
    <col min="11055" max="11264" width="11.44140625" style="63"/>
    <col min="11265" max="11265" width="9.88671875" style="63" customWidth="1"/>
    <col min="11266" max="11266" width="42.109375" style="63" customWidth="1"/>
    <col min="11267" max="11268" width="11.33203125" style="63" customWidth="1"/>
    <col min="11269" max="11269" width="9.6640625" style="63" customWidth="1"/>
    <col min="11270" max="11271" width="11.33203125" style="63" customWidth="1"/>
    <col min="11272" max="11272" width="10" style="63" customWidth="1"/>
    <col min="11273" max="11310" width="11.44140625" style="63" customWidth="1"/>
    <col min="11311" max="11520" width="11.44140625" style="63"/>
    <col min="11521" max="11521" width="9.88671875" style="63" customWidth="1"/>
    <col min="11522" max="11522" width="42.109375" style="63" customWidth="1"/>
    <col min="11523" max="11524" width="11.33203125" style="63" customWidth="1"/>
    <col min="11525" max="11525" width="9.6640625" style="63" customWidth="1"/>
    <col min="11526" max="11527" width="11.33203125" style="63" customWidth="1"/>
    <col min="11528" max="11528" width="10" style="63" customWidth="1"/>
    <col min="11529" max="11566" width="11.44140625" style="63" customWidth="1"/>
    <col min="11567" max="11776" width="11.44140625" style="63"/>
    <col min="11777" max="11777" width="9.88671875" style="63" customWidth="1"/>
    <col min="11778" max="11778" width="42.109375" style="63" customWidth="1"/>
    <col min="11779" max="11780" width="11.33203125" style="63" customWidth="1"/>
    <col min="11781" max="11781" width="9.6640625" style="63" customWidth="1"/>
    <col min="11782" max="11783" width="11.33203125" style="63" customWidth="1"/>
    <col min="11784" max="11784" width="10" style="63" customWidth="1"/>
    <col min="11785" max="11822" width="11.44140625" style="63" customWidth="1"/>
    <col min="11823" max="12032" width="11.44140625" style="63"/>
    <col min="12033" max="12033" width="9.88671875" style="63" customWidth="1"/>
    <col min="12034" max="12034" width="42.109375" style="63" customWidth="1"/>
    <col min="12035" max="12036" width="11.33203125" style="63" customWidth="1"/>
    <col min="12037" max="12037" width="9.6640625" style="63" customWidth="1"/>
    <col min="12038" max="12039" width="11.33203125" style="63" customWidth="1"/>
    <col min="12040" max="12040" width="10" style="63" customWidth="1"/>
    <col min="12041" max="12078" width="11.44140625" style="63" customWidth="1"/>
    <col min="12079" max="12288" width="11.44140625" style="63"/>
    <col min="12289" max="12289" width="9.88671875" style="63" customWidth="1"/>
    <col min="12290" max="12290" width="42.109375" style="63" customWidth="1"/>
    <col min="12291" max="12292" width="11.33203125" style="63" customWidth="1"/>
    <col min="12293" max="12293" width="9.6640625" style="63" customWidth="1"/>
    <col min="12294" max="12295" width="11.33203125" style="63" customWidth="1"/>
    <col min="12296" max="12296" width="10" style="63" customWidth="1"/>
    <col min="12297" max="12334" width="11.44140625" style="63" customWidth="1"/>
    <col min="12335" max="12544" width="11.44140625" style="63"/>
    <col min="12545" max="12545" width="9.88671875" style="63" customWidth="1"/>
    <col min="12546" max="12546" width="42.109375" style="63" customWidth="1"/>
    <col min="12547" max="12548" width="11.33203125" style="63" customWidth="1"/>
    <col min="12549" max="12549" width="9.6640625" style="63" customWidth="1"/>
    <col min="12550" max="12551" width="11.33203125" style="63" customWidth="1"/>
    <col min="12552" max="12552" width="10" style="63" customWidth="1"/>
    <col min="12553" max="12590" width="11.44140625" style="63" customWidth="1"/>
    <col min="12591" max="12800" width="11.44140625" style="63"/>
    <col min="12801" max="12801" width="9.88671875" style="63" customWidth="1"/>
    <col min="12802" max="12802" width="42.109375" style="63" customWidth="1"/>
    <col min="12803" max="12804" width="11.33203125" style="63" customWidth="1"/>
    <col min="12805" max="12805" width="9.6640625" style="63" customWidth="1"/>
    <col min="12806" max="12807" width="11.33203125" style="63" customWidth="1"/>
    <col min="12808" max="12808" width="10" style="63" customWidth="1"/>
    <col min="12809" max="12846" width="11.44140625" style="63" customWidth="1"/>
    <col min="12847" max="13056" width="11.44140625" style="63"/>
    <col min="13057" max="13057" width="9.88671875" style="63" customWidth="1"/>
    <col min="13058" max="13058" width="42.109375" style="63" customWidth="1"/>
    <col min="13059" max="13060" width="11.33203125" style="63" customWidth="1"/>
    <col min="13061" max="13061" width="9.6640625" style="63" customWidth="1"/>
    <col min="13062" max="13063" width="11.33203125" style="63" customWidth="1"/>
    <col min="13064" max="13064" width="10" style="63" customWidth="1"/>
    <col min="13065" max="13102" width="11.44140625" style="63" customWidth="1"/>
    <col min="13103" max="13312" width="11.44140625" style="63"/>
    <col min="13313" max="13313" width="9.88671875" style="63" customWidth="1"/>
    <col min="13314" max="13314" width="42.109375" style="63" customWidth="1"/>
    <col min="13315" max="13316" width="11.33203125" style="63" customWidth="1"/>
    <col min="13317" max="13317" width="9.6640625" style="63" customWidth="1"/>
    <col min="13318" max="13319" width="11.33203125" style="63" customWidth="1"/>
    <col min="13320" max="13320" width="10" style="63" customWidth="1"/>
    <col min="13321" max="13358" width="11.44140625" style="63" customWidth="1"/>
    <col min="13359" max="13568" width="11.44140625" style="63"/>
    <col min="13569" max="13569" width="9.88671875" style="63" customWidth="1"/>
    <col min="13570" max="13570" width="42.109375" style="63" customWidth="1"/>
    <col min="13571" max="13572" width="11.33203125" style="63" customWidth="1"/>
    <col min="13573" max="13573" width="9.6640625" style="63" customWidth="1"/>
    <col min="13574" max="13575" width="11.33203125" style="63" customWidth="1"/>
    <col min="13576" max="13576" width="10" style="63" customWidth="1"/>
    <col min="13577" max="13614" width="11.44140625" style="63" customWidth="1"/>
    <col min="13615" max="13824" width="11.44140625" style="63"/>
    <col min="13825" max="13825" width="9.88671875" style="63" customWidth="1"/>
    <col min="13826" max="13826" width="42.109375" style="63" customWidth="1"/>
    <col min="13827" max="13828" width="11.33203125" style="63" customWidth="1"/>
    <col min="13829" max="13829" width="9.6640625" style="63" customWidth="1"/>
    <col min="13830" max="13831" width="11.33203125" style="63" customWidth="1"/>
    <col min="13832" max="13832" width="10" style="63" customWidth="1"/>
    <col min="13833" max="13870" width="11.44140625" style="63" customWidth="1"/>
    <col min="13871" max="14080" width="11.44140625" style="63"/>
    <col min="14081" max="14081" width="9.88671875" style="63" customWidth="1"/>
    <col min="14082" max="14082" width="42.109375" style="63" customWidth="1"/>
    <col min="14083" max="14084" width="11.33203125" style="63" customWidth="1"/>
    <col min="14085" max="14085" width="9.6640625" style="63" customWidth="1"/>
    <col min="14086" max="14087" width="11.33203125" style="63" customWidth="1"/>
    <col min="14088" max="14088" width="10" style="63" customWidth="1"/>
    <col min="14089" max="14126" width="11.44140625" style="63" customWidth="1"/>
    <col min="14127" max="14336" width="11.44140625" style="63"/>
    <col min="14337" max="14337" width="9.88671875" style="63" customWidth="1"/>
    <col min="14338" max="14338" width="42.109375" style="63" customWidth="1"/>
    <col min="14339" max="14340" width="11.33203125" style="63" customWidth="1"/>
    <col min="14341" max="14341" width="9.6640625" style="63" customWidth="1"/>
    <col min="14342" max="14343" width="11.33203125" style="63" customWidth="1"/>
    <col min="14344" max="14344" width="10" style="63" customWidth="1"/>
    <col min="14345" max="14382" width="11.44140625" style="63" customWidth="1"/>
    <col min="14383" max="14592" width="11.44140625" style="63"/>
    <col min="14593" max="14593" width="9.88671875" style="63" customWidth="1"/>
    <col min="14594" max="14594" width="42.109375" style="63" customWidth="1"/>
    <col min="14595" max="14596" width="11.33203125" style="63" customWidth="1"/>
    <col min="14597" max="14597" width="9.6640625" style="63" customWidth="1"/>
    <col min="14598" max="14599" width="11.33203125" style="63" customWidth="1"/>
    <col min="14600" max="14600" width="10" style="63" customWidth="1"/>
    <col min="14601" max="14638" width="11.44140625" style="63" customWidth="1"/>
    <col min="14639" max="14848" width="11.44140625" style="63"/>
    <col min="14849" max="14849" width="9.88671875" style="63" customWidth="1"/>
    <col min="14850" max="14850" width="42.109375" style="63" customWidth="1"/>
    <col min="14851" max="14852" width="11.33203125" style="63" customWidth="1"/>
    <col min="14853" max="14853" width="9.6640625" style="63" customWidth="1"/>
    <col min="14854" max="14855" width="11.33203125" style="63" customWidth="1"/>
    <col min="14856" max="14856" width="10" style="63" customWidth="1"/>
    <col min="14857" max="14894" width="11.44140625" style="63" customWidth="1"/>
    <col min="14895" max="15104" width="11.44140625" style="63"/>
    <col min="15105" max="15105" width="9.88671875" style="63" customWidth="1"/>
    <col min="15106" max="15106" width="42.109375" style="63" customWidth="1"/>
    <col min="15107" max="15108" width="11.33203125" style="63" customWidth="1"/>
    <col min="15109" max="15109" width="9.6640625" style="63" customWidth="1"/>
    <col min="15110" max="15111" width="11.33203125" style="63" customWidth="1"/>
    <col min="15112" max="15112" width="10" style="63" customWidth="1"/>
    <col min="15113" max="15150" width="11.44140625" style="63" customWidth="1"/>
    <col min="15151" max="15360" width="11.44140625" style="63"/>
    <col min="15361" max="15361" width="9.88671875" style="63" customWidth="1"/>
    <col min="15362" max="15362" width="42.109375" style="63" customWidth="1"/>
    <col min="15363" max="15364" width="11.33203125" style="63" customWidth="1"/>
    <col min="15365" max="15365" width="9.6640625" style="63" customWidth="1"/>
    <col min="15366" max="15367" width="11.33203125" style="63" customWidth="1"/>
    <col min="15368" max="15368" width="10" style="63" customWidth="1"/>
    <col min="15369" max="15406" width="11.44140625" style="63" customWidth="1"/>
    <col min="15407" max="15616" width="11.44140625" style="63"/>
    <col min="15617" max="15617" width="9.88671875" style="63" customWidth="1"/>
    <col min="15618" max="15618" width="42.109375" style="63" customWidth="1"/>
    <col min="15619" max="15620" width="11.33203125" style="63" customWidth="1"/>
    <col min="15621" max="15621" width="9.6640625" style="63" customWidth="1"/>
    <col min="15622" max="15623" width="11.33203125" style="63" customWidth="1"/>
    <col min="15624" max="15624" width="10" style="63" customWidth="1"/>
    <col min="15625" max="15662" width="11.44140625" style="63" customWidth="1"/>
    <col min="15663" max="15872" width="11.44140625" style="63"/>
    <col min="15873" max="15873" width="9.88671875" style="63" customWidth="1"/>
    <col min="15874" max="15874" width="42.109375" style="63" customWidth="1"/>
    <col min="15875" max="15876" width="11.33203125" style="63" customWidth="1"/>
    <col min="15877" max="15877" width="9.6640625" style="63" customWidth="1"/>
    <col min="15878" max="15879" width="11.33203125" style="63" customWidth="1"/>
    <col min="15880" max="15880" width="10" style="63" customWidth="1"/>
    <col min="15881" max="15918" width="11.44140625" style="63" customWidth="1"/>
    <col min="15919" max="16128" width="11.44140625" style="63"/>
    <col min="16129" max="16129" width="9.88671875" style="63" customWidth="1"/>
    <col min="16130" max="16130" width="42.109375" style="63" customWidth="1"/>
    <col min="16131" max="16132" width="11.33203125" style="63" customWidth="1"/>
    <col min="16133" max="16133" width="9.6640625" style="63" customWidth="1"/>
    <col min="16134" max="16135" width="11.33203125" style="63" customWidth="1"/>
    <col min="16136" max="16136" width="10" style="63" customWidth="1"/>
    <col min="16137" max="16174" width="11.44140625" style="63" customWidth="1"/>
    <col min="16175" max="16384" width="11.44140625" style="63"/>
  </cols>
  <sheetData>
    <row r="1" spans="1:46" s="61" customFormat="1" ht="20.399999999999999" x14ac:dyDescent="0.35">
      <c r="A1" s="422" t="s">
        <v>117</v>
      </c>
      <c r="B1" s="422"/>
      <c r="C1" s="422"/>
      <c r="D1" s="422"/>
      <c r="E1" s="422"/>
      <c r="F1" s="422"/>
      <c r="G1" s="422"/>
      <c r="H1" s="422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</row>
    <row r="2" spans="1:46" ht="13.8" thickBot="1" x14ac:dyDescent="0.3">
      <c r="C2" s="62"/>
      <c r="D2" s="62"/>
      <c r="E2" s="62"/>
      <c r="G2" s="62"/>
      <c r="H2" s="62"/>
    </row>
    <row r="3" spans="1:46" ht="13.8" thickTop="1" x14ac:dyDescent="0.25">
      <c r="A3" s="64" t="s">
        <v>1</v>
      </c>
      <c r="B3" s="65" t="s">
        <v>79</v>
      </c>
      <c r="C3" s="66"/>
      <c r="D3" s="66"/>
      <c r="E3" s="67" t="s">
        <v>80</v>
      </c>
      <c r="F3" s="68"/>
      <c r="G3" s="66"/>
      <c r="H3" s="69" t="s">
        <v>77</v>
      </c>
    </row>
    <row r="4" spans="1:46" ht="13.8" thickBot="1" x14ac:dyDescent="0.3">
      <c r="A4" s="70"/>
      <c r="B4" s="423" t="str">
        <f>'[1]Planilha Orçamentária'!C43</f>
        <v>MEIO-FIO COM SARJETA, CONCRETO FCK=20MPA, SEÇÃO 615 CM2</v>
      </c>
      <c r="C4" s="424"/>
      <c r="D4" s="425"/>
      <c r="E4" s="71" t="s">
        <v>81</v>
      </c>
      <c r="F4" s="72"/>
      <c r="G4" s="73">
        <v>1</v>
      </c>
      <c r="H4" s="74" t="s">
        <v>82</v>
      </c>
    </row>
    <row r="5" spans="1:46" ht="14.4" thickTop="1" thickBot="1" x14ac:dyDescent="0.3">
      <c r="C5" s="62"/>
      <c r="D5" s="62"/>
      <c r="E5" s="62"/>
      <c r="G5" s="62"/>
      <c r="H5" s="62"/>
    </row>
    <row r="6" spans="1:46" ht="13.8" thickTop="1" x14ac:dyDescent="0.25">
      <c r="A6" s="64" t="s">
        <v>1</v>
      </c>
      <c r="B6" s="75" t="s">
        <v>83</v>
      </c>
      <c r="C6" s="76" t="s">
        <v>84</v>
      </c>
      <c r="D6" s="76"/>
      <c r="E6" s="77" t="s">
        <v>85</v>
      </c>
      <c r="F6" s="76" t="s">
        <v>86</v>
      </c>
      <c r="G6" s="78"/>
      <c r="H6" s="79" t="s">
        <v>87</v>
      </c>
    </row>
    <row r="7" spans="1:46" x14ac:dyDescent="0.25">
      <c r="A7" s="80"/>
      <c r="B7" s="81"/>
      <c r="C7" s="82" t="s">
        <v>88</v>
      </c>
      <c r="D7" s="83" t="s">
        <v>89</v>
      </c>
      <c r="E7" s="81"/>
      <c r="F7" s="82" t="s">
        <v>88</v>
      </c>
      <c r="G7" s="83" t="s">
        <v>89</v>
      </c>
      <c r="H7" s="84" t="s">
        <v>90</v>
      </c>
    </row>
    <row r="8" spans="1:46" x14ac:dyDescent="0.25">
      <c r="A8" s="85"/>
      <c r="B8" s="86"/>
      <c r="C8" s="87"/>
      <c r="D8" s="87"/>
      <c r="E8" s="88"/>
      <c r="F8" s="88"/>
      <c r="G8" s="88"/>
      <c r="H8" s="89"/>
    </row>
    <row r="9" spans="1:46" x14ac:dyDescent="0.25">
      <c r="A9" s="85"/>
      <c r="B9" s="90"/>
      <c r="C9" s="88"/>
      <c r="D9" s="88"/>
      <c r="E9" s="88"/>
      <c r="F9" s="88"/>
      <c r="G9" s="88"/>
      <c r="H9" s="89">
        <f t="shared" ref="H9:H17" si="0">+ROUND(E9*F9*C9+E9*G9*D9,2)</f>
        <v>0</v>
      </c>
    </row>
    <row r="10" spans="1:46" x14ac:dyDescent="0.25">
      <c r="A10" s="85"/>
      <c r="B10" s="90"/>
      <c r="C10" s="88"/>
      <c r="D10" s="88"/>
      <c r="E10" s="88"/>
      <c r="F10" s="88"/>
      <c r="G10" s="88"/>
      <c r="H10" s="89">
        <f t="shared" si="0"/>
        <v>0</v>
      </c>
    </row>
    <row r="11" spans="1:46" x14ac:dyDescent="0.25">
      <c r="A11" s="85"/>
      <c r="B11" s="90"/>
      <c r="C11" s="88"/>
      <c r="D11" s="88"/>
      <c r="E11" s="88"/>
      <c r="F11" s="88"/>
      <c r="G11" s="88"/>
      <c r="H11" s="89">
        <f t="shared" si="0"/>
        <v>0</v>
      </c>
    </row>
    <row r="12" spans="1:46" x14ac:dyDescent="0.25">
      <c r="A12" s="85"/>
      <c r="B12" s="90"/>
      <c r="C12" s="88"/>
      <c r="D12" s="88"/>
      <c r="E12" s="88"/>
      <c r="F12" s="88"/>
      <c r="G12" s="88"/>
      <c r="H12" s="89">
        <f t="shared" si="0"/>
        <v>0</v>
      </c>
    </row>
    <row r="13" spans="1:46" x14ac:dyDescent="0.25">
      <c r="A13" s="85"/>
      <c r="B13" s="90"/>
      <c r="C13" s="88"/>
      <c r="D13" s="88"/>
      <c r="E13" s="88"/>
      <c r="F13" s="88"/>
      <c r="G13" s="88"/>
      <c r="H13" s="89">
        <f t="shared" si="0"/>
        <v>0</v>
      </c>
    </row>
    <row r="14" spans="1:46" s="62" customFormat="1" x14ac:dyDescent="0.25">
      <c r="A14" s="85"/>
      <c r="B14" s="90"/>
      <c r="C14" s="88"/>
      <c r="D14" s="88"/>
      <c r="E14" s="88"/>
      <c r="F14" s="88"/>
      <c r="G14" s="88"/>
      <c r="H14" s="89">
        <f t="shared" si="0"/>
        <v>0</v>
      </c>
    </row>
    <row r="15" spans="1:46" s="62" customFormat="1" x14ac:dyDescent="0.25">
      <c r="A15" s="85"/>
      <c r="B15" s="90"/>
      <c r="C15" s="88"/>
      <c r="D15" s="88"/>
      <c r="E15" s="88"/>
      <c r="F15" s="88"/>
      <c r="G15" s="88"/>
      <c r="H15" s="89">
        <f t="shared" si="0"/>
        <v>0</v>
      </c>
    </row>
    <row r="16" spans="1:46" s="62" customFormat="1" x14ac:dyDescent="0.25">
      <c r="A16" s="91"/>
      <c r="B16" s="90"/>
      <c r="C16" s="92"/>
      <c r="D16" s="92"/>
      <c r="E16" s="92"/>
      <c r="F16" s="92"/>
      <c r="G16" s="92"/>
      <c r="H16" s="89">
        <f t="shared" si="0"/>
        <v>0</v>
      </c>
    </row>
    <row r="17" spans="1:8" s="63" customFormat="1" ht="13.8" thickBot="1" x14ac:dyDescent="0.3">
      <c r="A17" s="93"/>
      <c r="B17" s="94"/>
      <c r="C17" s="95"/>
      <c r="D17" s="95"/>
      <c r="E17" s="95"/>
      <c r="F17" s="95"/>
      <c r="G17" s="95"/>
      <c r="H17" s="96">
        <f t="shared" si="0"/>
        <v>0</v>
      </c>
    </row>
    <row r="18" spans="1:8" s="63" customFormat="1" ht="13.8" thickTop="1" x14ac:dyDescent="0.25">
      <c r="A18" s="97"/>
      <c r="B18" s="97"/>
      <c r="C18" s="98"/>
      <c r="D18" s="98" t="s">
        <v>91</v>
      </c>
      <c r="E18" s="97"/>
      <c r="F18" s="97"/>
      <c r="G18" s="98"/>
      <c r="H18" s="98">
        <f>SUM(H8:H17)</f>
        <v>0</v>
      </c>
    </row>
    <row r="19" spans="1:8" s="63" customFormat="1" ht="13.8" thickBot="1" x14ac:dyDescent="0.3">
      <c r="A19" s="62"/>
      <c r="B19" s="62"/>
      <c r="C19" s="99"/>
      <c r="D19" s="99"/>
      <c r="G19" s="99"/>
      <c r="H19" s="99"/>
    </row>
    <row r="20" spans="1:8" s="63" customFormat="1" ht="13.8" thickTop="1" x14ac:dyDescent="0.25">
      <c r="A20" s="64" t="s">
        <v>1</v>
      </c>
      <c r="B20" s="100" t="s">
        <v>92</v>
      </c>
      <c r="C20" s="426" t="s">
        <v>93</v>
      </c>
      <c r="D20" s="427"/>
      <c r="E20" s="101"/>
      <c r="F20" s="101" t="s">
        <v>85</v>
      </c>
      <c r="G20" s="102"/>
      <c r="H20" s="79" t="s">
        <v>87</v>
      </c>
    </row>
    <row r="21" spans="1:8" s="63" customFormat="1" x14ac:dyDescent="0.25">
      <c r="A21" s="80"/>
      <c r="B21" s="81"/>
      <c r="C21" s="428" t="s">
        <v>94</v>
      </c>
      <c r="D21" s="429"/>
      <c r="E21" s="103"/>
      <c r="F21" s="104"/>
      <c r="G21" s="82"/>
      <c r="H21" s="84" t="s">
        <v>90</v>
      </c>
    </row>
    <row r="22" spans="1:8" s="63" customFormat="1" x14ac:dyDescent="0.25">
      <c r="A22" s="85"/>
      <c r="B22" s="86"/>
      <c r="C22" s="105"/>
      <c r="D22" s="106"/>
      <c r="E22" s="107"/>
      <c r="F22" s="108"/>
      <c r="G22" s="109"/>
      <c r="H22" s="89">
        <f>+ROUND(C22*F22,2)</f>
        <v>0</v>
      </c>
    </row>
    <row r="23" spans="1:8" s="63" customFormat="1" x14ac:dyDescent="0.25">
      <c r="A23" s="85">
        <v>6111</v>
      </c>
      <c r="B23" s="86" t="s">
        <v>95</v>
      </c>
      <c r="C23" s="430">
        <v>8.6999999999999993</v>
      </c>
      <c r="D23" s="431"/>
      <c r="E23" s="107"/>
      <c r="F23" s="108">
        <v>0.25</v>
      </c>
      <c r="G23" s="109"/>
      <c r="H23" s="89">
        <f>+ROUND(C23*F23,2)</f>
        <v>2.1800000000000002</v>
      </c>
    </row>
    <row r="24" spans="1:8" s="63" customFormat="1" x14ac:dyDescent="0.25">
      <c r="A24" s="85"/>
      <c r="B24" s="86"/>
      <c r="C24" s="105"/>
      <c r="D24" s="106"/>
      <c r="E24" s="107"/>
      <c r="F24" s="108"/>
      <c r="G24" s="109"/>
      <c r="H24" s="89"/>
    </row>
    <row r="25" spans="1:8" s="63" customFormat="1" x14ac:dyDescent="0.25">
      <c r="A25" s="85"/>
      <c r="B25" s="110"/>
      <c r="C25" s="107"/>
      <c r="D25" s="109"/>
      <c r="E25" s="111"/>
      <c r="F25" s="108">
        <f t="shared" ref="F25:F31" si="1">+C25*D25*E25</f>
        <v>0</v>
      </c>
      <c r="G25" s="109">
        <f t="shared" ref="G25:G31" si="2">+F25*1.45</f>
        <v>0</v>
      </c>
      <c r="H25" s="89">
        <f t="shared" ref="H25:H31" si="3">+ROUND(F25+G25,2)</f>
        <v>0</v>
      </c>
    </row>
    <row r="26" spans="1:8" s="63" customFormat="1" x14ac:dyDescent="0.25">
      <c r="A26" s="85"/>
      <c r="B26" s="110"/>
      <c r="C26" s="107"/>
      <c r="D26" s="109"/>
      <c r="E26" s="111"/>
      <c r="F26" s="108">
        <f t="shared" si="1"/>
        <v>0</v>
      </c>
      <c r="G26" s="109">
        <f t="shared" si="2"/>
        <v>0</v>
      </c>
      <c r="H26" s="89">
        <f t="shared" si="3"/>
        <v>0</v>
      </c>
    </row>
    <row r="27" spans="1:8" s="63" customFormat="1" x14ac:dyDescent="0.25">
      <c r="A27" s="85"/>
      <c r="B27" s="110"/>
      <c r="C27" s="107"/>
      <c r="D27" s="109"/>
      <c r="E27" s="111"/>
      <c r="F27" s="108">
        <f t="shared" si="1"/>
        <v>0</v>
      </c>
      <c r="G27" s="109">
        <f t="shared" si="2"/>
        <v>0</v>
      </c>
      <c r="H27" s="89">
        <f t="shared" si="3"/>
        <v>0</v>
      </c>
    </row>
    <row r="28" spans="1:8" s="63" customFormat="1" x14ac:dyDescent="0.25">
      <c r="A28" s="85"/>
      <c r="B28" s="110"/>
      <c r="C28" s="107"/>
      <c r="D28" s="109"/>
      <c r="E28" s="111"/>
      <c r="F28" s="108">
        <f t="shared" si="1"/>
        <v>0</v>
      </c>
      <c r="G28" s="109">
        <f t="shared" si="2"/>
        <v>0</v>
      </c>
      <c r="H28" s="89">
        <f t="shared" si="3"/>
        <v>0</v>
      </c>
    </row>
    <row r="29" spans="1:8" s="63" customFormat="1" x14ac:dyDescent="0.25">
      <c r="A29" s="85"/>
      <c r="B29" s="110"/>
      <c r="C29" s="107"/>
      <c r="D29" s="109"/>
      <c r="E29" s="111"/>
      <c r="F29" s="108">
        <f t="shared" si="1"/>
        <v>0</v>
      </c>
      <c r="G29" s="109">
        <f t="shared" si="2"/>
        <v>0</v>
      </c>
      <c r="H29" s="89">
        <f t="shared" si="3"/>
        <v>0</v>
      </c>
    </row>
    <row r="30" spans="1:8" s="63" customFormat="1" x14ac:dyDescent="0.25">
      <c r="A30" s="85"/>
      <c r="B30" s="110"/>
      <c r="C30" s="107"/>
      <c r="D30" s="109"/>
      <c r="E30" s="111"/>
      <c r="F30" s="108">
        <f t="shared" si="1"/>
        <v>0</v>
      </c>
      <c r="G30" s="109">
        <f t="shared" si="2"/>
        <v>0</v>
      </c>
      <c r="H30" s="89">
        <f t="shared" si="3"/>
        <v>0</v>
      </c>
    </row>
    <row r="31" spans="1:8" s="63" customFormat="1" ht="13.8" thickBot="1" x14ac:dyDescent="0.3">
      <c r="A31" s="112"/>
      <c r="B31" s="113"/>
      <c r="C31" s="114"/>
      <c r="D31" s="115"/>
      <c r="E31" s="116"/>
      <c r="F31" s="117">
        <f t="shared" si="1"/>
        <v>0</v>
      </c>
      <c r="G31" s="115">
        <f t="shared" si="2"/>
        <v>0</v>
      </c>
      <c r="H31" s="96">
        <f t="shared" si="3"/>
        <v>0</v>
      </c>
    </row>
    <row r="32" spans="1:8" s="63" customFormat="1" ht="13.8" thickTop="1" x14ac:dyDescent="0.25">
      <c r="A32" s="118"/>
      <c r="B32" s="62"/>
      <c r="C32" s="111"/>
      <c r="D32" s="119" t="s">
        <v>96</v>
      </c>
      <c r="E32" s="62"/>
      <c r="F32" s="62"/>
      <c r="G32" s="111"/>
      <c r="H32" s="111">
        <f>SUM(H22:H31)</f>
        <v>2.1800000000000002</v>
      </c>
    </row>
    <row r="33" spans="1:46" x14ac:dyDescent="0.25">
      <c r="B33" s="63"/>
      <c r="C33" s="63"/>
      <c r="D33" s="120" t="s">
        <v>97</v>
      </c>
      <c r="E33" s="62"/>
      <c r="H33" s="121">
        <f>+H18+H32</f>
        <v>2.1800000000000002</v>
      </c>
    </row>
    <row r="34" spans="1:46" x14ac:dyDescent="0.25">
      <c r="A34" s="118"/>
      <c r="C34" s="122"/>
      <c r="D34" s="120" t="s">
        <v>98</v>
      </c>
      <c r="E34" s="62"/>
      <c r="G34" s="62"/>
      <c r="H34" s="121">
        <f>ROUND(H33/G4,2)</f>
        <v>2.1800000000000002</v>
      </c>
    </row>
    <row r="35" spans="1:46" ht="13.8" thickBot="1" x14ac:dyDescent="0.3">
      <c r="A35" s="118"/>
      <c r="C35" s="123"/>
      <c r="D35" s="62"/>
      <c r="E35" s="62"/>
      <c r="G35" s="62"/>
    </row>
    <row r="36" spans="1:46" ht="13.8" thickTop="1" x14ac:dyDescent="0.25">
      <c r="A36" s="64" t="s">
        <v>1</v>
      </c>
      <c r="B36" s="100" t="s">
        <v>99</v>
      </c>
      <c r="C36" s="100" t="s">
        <v>100</v>
      </c>
      <c r="D36" s="124" t="s">
        <v>87</v>
      </c>
      <c r="E36" s="102"/>
      <c r="F36" s="125" t="s">
        <v>101</v>
      </c>
      <c r="G36" s="125"/>
      <c r="H36" s="79" t="s">
        <v>87</v>
      </c>
    </row>
    <row r="37" spans="1:46" x14ac:dyDescent="0.25">
      <c r="A37" s="80"/>
      <c r="B37" s="81"/>
      <c r="C37" s="81"/>
      <c r="D37" s="126"/>
      <c r="E37" s="81"/>
      <c r="F37" s="104"/>
      <c r="G37" s="127"/>
      <c r="H37" s="84" t="s">
        <v>102</v>
      </c>
    </row>
    <row r="38" spans="1:46" s="135" customFormat="1" ht="39.6" x14ac:dyDescent="0.25">
      <c r="A38" s="128" t="s">
        <v>103</v>
      </c>
      <c r="B38" s="129" t="s">
        <v>104</v>
      </c>
      <c r="C38" s="130" t="s">
        <v>76</v>
      </c>
      <c r="D38" s="432">
        <v>227.96</v>
      </c>
      <c r="E38" s="433"/>
      <c r="F38" s="131">
        <v>6.1499999999999999E-2</v>
      </c>
      <c r="G38" s="132"/>
      <c r="H38" s="133">
        <f>+ROUND(D38*F38,2)</f>
        <v>14.02</v>
      </c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</row>
    <row r="39" spans="1:46" s="142" customFormat="1" ht="39.6" x14ac:dyDescent="0.25">
      <c r="A39" s="128" t="s">
        <v>105</v>
      </c>
      <c r="B39" s="136" t="s">
        <v>106</v>
      </c>
      <c r="C39" s="137" t="s">
        <v>76</v>
      </c>
      <c r="D39" s="420">
        <v>51.3</v>
      </c>
      <c r="E39" s="421"/>
      <c r="F39" s="138">
        <v>4.6199999999999998E-2</v>
      </c>
      <c r="G39" s="139"/>
      <c r="H39" s="140">
        <f>+ROUND(D39*F39,2)</f>
        <v>2.37</v>
      </c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</row>
    <row r="40" spans="1:46" s="142" customFormat="1" ht="39.6" x14ac:dyDescent="0.25">
      <c r="A40" s="128" t="s">
        <v>107</v>
      </c>
      <c r="B40" s="143" t="s">
        <v>108</v>
      </c>
      <c r="C40" s="144" t="s">
        <v>76</v>
      </c>
      <c r="D40" s="420">
        <v>131.74</v>
      </c>
      <c r="E40" s="421"/>
      <c r="F40" s="138">
        <v>6.1499999999999999E-2</v>
      </c>
      <c r="G40" s="139"/>
      <c r="H40" s="140">
        <f>+ROUND(D40*F40,2)</f>
        <v>8.1</v>
      </c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</row>
    <row r="41" spans="1:46" ht="26.4" x14ac:dyDescent="0.25">
      <c r="A41" s="145">
        <v>96533</v>
      </c>
      <c r="B41" s="204" t="s">
        <v>260</v>
      </c>
      <c r="C41" s="88" t="s">
        <v>261</v>
      </c>
      <c r="D41" s="418">
        <v>52.24</v>
      </c>
      <c r="E41" s="419"/>
      <c r="F41" s="138">
        <f>0.15*2*1</f>
        <v>0.3</v>
      </c>
      <c r="G41" s="146"/>
      <c r="H41" s="140">
        <f>+ROUND(D41*F41,2)</f>
        <v>15.67</v>
      </c>
    </row>
    <row r="42" spans="1:46" x14ac:dyDescent="0.25">
      <c r="A42" s="85">
        <v>83693</v>
      </c>
      <c r="B42" s="110" t="s">
        <v>453</v>
      </c>
      <c r="C42" s="88" t="s">
        <v>261</v>
      </c>
      <c r="D42" s="418">
        <v>2.72</v>
      </c>
      <c r="E42" s="419"/>
      <c r="F42" s="138">
        <v>6.1499999999999999E-2</v>
      </c>
      <c r="G42" s="146"/>
      <c r="H42" s="140">
        <f>+ROUND(D42*F42,2)</f>
        <v>0.17</v>
      </c>
    </row>
    <row r="43" spans="1:46" x14ac:dyDescent="0.25">
      <c r="A43" s="85"/>
      <c r="B43" s="110"/>
      <c r="C43" s="109"/>
      <c r="D43" s="147"/>
      <c r="E43" s="148"/>
      <c r="F43" s="149"/>
      <c r="G43" s="146"/>
      <c r="H43" s="89">
        <f t="shared" ref="H43:H50" si="4">+ROUND(D43*F43,2)</f>
        <v>0</v>
      </c>
    </row>
    <row r="44" spans="1:46" x14ac:dyDescent="0.25">
      <c r="A44" s="85"/>
      <c r="B44" s="110"/>
      <c r="C44" s="109"/>
      <c r="D44" s="147"/>
      <c r="E44" s="148"/>
      <c r="F44" s="150"/>
      <c r="G44" s="151"/>
      <c r="H44" s="89">
        <f t="shared" si="4"/>
        <v>0</v>
      </c>
    </row>
    <row r="45" spans="1:46" x14ac:dyDescent="0.25">
      <c r="A45" s="85"/>
      <c r="B45" s="110"/>
      <c r="C45" s="109"/>
      <c r="D45" s="147"/>
      <c r="E45" s="148"/>
      <c r="F45" s="150"/>
      <c r="G45" s="151"/>
      <c r="H45" s="89">
        <f t="shared" si="4"/>
        <v>0</v>
      </c>
    </row>
    <row r="46" spans="1:46" s="62" customFormat="1" x14ac:dyDescent="0.25">
      <c r="A46" s="85"/>
      <c r="B46" s="110"/>
      <c r="C46" s="109"/>
      <c r="D46" s="147"/>
      <c r="E46" s="148"/>
      <c r="F46" s="150"/>
      <c r="G46" s="151"/>
      <c r="H46" s="89">
        <f t="shared" si="4"/>
        <v>0</v>
      </c>
    </row>
    <row r="47" spans="1:46" s="62" customFormat="1" x14ac:dyDescent="0.25">
      <c r="A47" s="85"/>
      <c r="B47" s="110"/>
      <c r="C47" s="109"/>
      <c r="D47" s="147"/>
      <c r="E47" s="148"/>
      <c r="F47" s="150"/>
      <c r="G47" s="151"/>
      <c r="H47" s="89"/>
    </row>
    <row r="48" spans="1:46" s="62" customFormat="1" x14ac:dyDescent="0.25">
      <c r="A48" s="85"/>
      <c r="B48" s="110"/>
      <c r="C48" s="109"/>
      <c r="D48" s="147"/>
      <c r="E48" s="148"/>
      <c r="F48" s="150"/>
      <c r="G48" s="151"/>
      <c r="H48" s="89">
        <f t="shared" si="4"/>
        <v>0</v>
      </c>
    </row>
    <row r="49" spans="1:8" s="63" customFormat="1" x14ac:dyDescent="0.25">
      <c r="A49" s="85"/>
      <c r="B49" s="110"/>
      <c r="C49" s="109"/>
      <c r="D49" s="147"/>
      <c r="E49" s="148"/>
      <c r="F49" s="150"/>
      <c r="G49" s="151"/>
      <c r="H49" s="89">
        <f t="shared" si="4"/>
        <v>0</v>
      </c>
    </row>
    <row r="50" spans="1:8" s="63" customFormat="1" ht="13.8" thickBot="1" x14ac:dyDescent="0.3">
      <c r="A50" s="112"/>
      <c r="B50" s="113"/>
      <c r="C50" s="115"/>
      <c r="D50" s="152"/>
      <c r="E50" s="153"/>
      <c r="F50" s="154"/>
      <c r="G50" s="155"/>
      <c r="H50" s="96">
        <f t="shared" si="4"/>
        <v>0</v>
      </c>
    </row>
    <row r="51" spans="1:8" s="63" customFormat="1" ht="13.8" thickTop="1" x14ac:dyDescent="0.25">
      <c r="A51" s="118"/>
      <c r="B51" s="62"/>
      <c r="C51" s="111"/>
      <c r="D51" s="99" t="s">
        <v>109</v>
      </c>
      <c r="E51" s="111"/>
      <c r="F51" s="62"/>
      <c r="G51" s="111"/>
      <c r="H51" s="111">
        <f>SUM(H38:H50)</f>
        <v>40.330000000000005</v>
      </c>
    </row>
    <row r="52" spans="1:8" s="63" customFormat="1" ht="13.8" thickBot="1" x14ac:dyDescent="0.3">
      <c r="A52" s="118"/>
      <c r="B52" s="62"/>
      <c r="C52" s="111"/>
      <c r="D52" s="99"/>
      <c r="E52" s="111"/>
      <c r="F52" s="62"/>
      <c r="G52" s="111"/>
      <c r="H52" s="111"/>
    </row>
    <row r="53" spans="1:8" s="63" customFormat="1" ht="13.8" thickTop="1" x14ac:dyDescent="0.25">
      <c r="A53" s="64" t="s">
        <v>1</v>
      </c>
      <c r="B53" s="100" t="s">
        <v>110</v>
      </c>
      <c r="C53" s="124" t="s">
        <v>87</v>
      </c>
      <c r="D53" s="125"/>
      <c r="E53" s="77" t="s">
        <v>111</v>
      </c>
      <c r="F53" s="125" t="s">
        <v>4</v>
      </c>
      <c r="G53" s="125"/>
      <c r="H53" s="79" t="s">
        <v>87</v>
      </c>
    </row>
    <row r="54" spans="1:8" s="63" customFormat="1" x14ac:dyDescent="0.25">
      <c r="A54" s="80"/>
      <c r="B54" s="81"/>
      <c r="C54" s="156"/>
      <c r="D54" s="83"/>
      <c r="E54" s="81"/>
      <c r="F54" s="104"/>
      <c r="G54" s="127"/>
      <c r="H54" s="84" t="s">
        <v>102</v>
      </c>
    </row>
    <row r="55" spans="1:8" s="63" customFormat="1" x14ac:dyDescent="0.25">
      <c r="A55" s="85"/>
      <c r="B55" s="110"/>
      <c r="C55" s="111"/>
      <c r="D55" s="109"/>
      <c r="E55" s="109"/>
      <c r="F55" s="111"/>
      <c r="G55" s="109"/>
      <c r="H55" s="89"/>
    </row>
    <row r="56" spans="1:8" s="63" customFormat="1" x14ac:dyDescent="0.25">
      <c r="A56" s="85"/>
      <c r="B56" s="110"/>
      <c r="C56" s="111"/>
      <c r="D56" s="109"/>
      <c r="E56" s="109"/>
      <c r="F56" s="111"/>
      <c r="G56" s="109"/>
      <c r="H56" s="89"/>
    </row>
    <row r="57" spans="1:8" s="63" customFormat="1" x14ac:dyDescent="0.25">
      <c r="A57" s="85"/>
      <c r="B57" s="110"/>
      <c r="C57" s="111"/>
      <c r="D57" s="109"/>
      <c r="E57" s="109"/>
      <c r="F57" s="111"/>
      <c r="G57" s="109"/>
      <c r="H57" s="89"/>
    </row>
    <row r="58" spans="1:8" s="63" customFormat="1" x14ac:dyDescent="0.25">
      <c r="A58" s="85"/>
      <c r="B58" s="110"/>
      <c r="C58" s="111"/>
      <c r="D58" s="109"/>
      <c r="E58" s="109"/>
      <c r="F58" s="111"/>
      <c r="G58" s="109"/>
      <c r="H58" s="89"/>
    </row>
    <row r="59" spans="1:8" s="63" customFormat="1" ht="13.8" thickBot="1" x14ac:dyDescent="0.3">
      <c r="A59" s="112"/>
      <c r="B59" s="113"/>
      <c r="C59" s="116"/>
      <c r="D59" s="115"/>
      <c r="E59" s="115"/>
      <c r="F59" s="116"/>
      <c r="G59" s="115"/>
      <c r="H59" s="96"/>
    </row>
    <row r="60" spans="1:8" s="63" customFormat="1" ht="13.8" thickTop="1" x14ac:dyDescent="0.25">
      <c r="A60" s="118"/>
      <c r="B60" s="62"/>
      <c r="C60" s="111"/>
      <c r="D60" s="99" t="s">
        <v>112</v>
      </c>
      <c r="G60" s="111"/>
      <c r="H60" s="111">
        <f>SUM(H55:H59)</f>
        <v>0</v>
      </c>
    </row>
    <row r="61" spans="1:8" s="63" customFormat="1" ht="13.8" thickBot="1" x14ac:dyDescent="0.3">
      <c r="A61" s="157"/>
      <c r="B61" s="158"/>
      <c r="C61" s="111"/>
      <c r="D61" s="99"/>
      <c r="G61" s="111"/>
      <c r="H61" s="111"/>
    </row>
    <row r="62" spans="1:8" s="63" customFormat="1" ht="14.4" thickTop="1" thickBot="1" x14ac:dyDescent="0.3">
      <c r="A62" s="159" t="s">
        <v>113</v>
      </c>
      <c r="B62" s="160"/>
      <c r="C62" s="161"/>
      <c r="D62" s="161"/>
      <c r="E62" s="161"/>
      <c r="F62" s="162"/>
      <c r="G62" s="163" t="s">
        <v>114</v>
      </c>
      <c r="H62" s="164">
        <f>+H34+H51+H60</f>
        <v>42.510000000000005</v>
      </c>
    </row>
    <row r="63" spans="1:8" s="63" customFormat="1" ht="14.4" thickTop="1" thickBot="1" x14ac:dyDescent="0.3">
      <c r="A63" s="159" t="s">
        <v>115</v>
      </c>
      <c r="B63" s="160"/>
      <c r="C63" s="161"/>
      <c r="D63" s="161"/>
      <c r="E63" s="161"/>
      <c r="F63" s="165">
        <v>0.2641</v>
      </c>
      <c r="G63" s="163" t="s">
        <v>114</v>
      </c>
      <c r="H63" s="164">
        <f>+H62*F63-0.01</f>
        <v>11.216891000000002</v>
      </c>
    </row>
    <row r="64" spans="1:8" s="63" customFormat="1" ht="14.4" thickTop="1" thickBot="1" x14ac:dyDescent="0.3">
      <c r="A64" s="159" t="s">
        <v>116</v>
      </c>
      <c r="B64" s="160"/>
      <c r="C64" s="161"/>
      <c r="D64" s="161"/>
      <c r="E64" s="161"/>
      <c r="F64" s="162"/>
      <c r="G64" s="163" t="s">
        <v>114</v>
      </c>
      <c r="H64" s="164">
        <f>+H63+H62</f>
        <v>53.726891000000009</v>
      </c>
    </row>
    <row r="65" spans="2:2" s="63" customFormat="1" ht="13.8" thickTop="1" x14ac:dyDescent="0.25">
      <c r="B65" s="62"/>
    </row>
    <row r="69" spans="2:2" s="63" customFormat="1" x14ac:dyDescent="0.25">
      <c r="B69" s="166" t="s">
        <v>445</v>
      </c>
    </row>
    <row r="70" spans="2:2" s="63" customFormat="1" x14ac:dyDescent="0.25">
      <c r="B70" s="167" t="s">
        <v>558</v>
      </c>
    </row>
  </sheetData>
  <mergeCells count="10">
    <mergeCell ref="D42:E42"/>
    <mergeCell ref="D41:E41"/>
    <mergeCell ref="D39:E39"/>
    <mergeCell ref="D40:E40"/>
    <mergeCell ref="A1:H1"/>
    <mergeCell ref="B4:D4"/>
    <mergeCell ref="C20:D20"/>
    <mergeCell ref="C21:D21"/>
    <mergeCell ref="C23:D23"/>
    <mergeCell ref="D38:E38"/>
  </mergeCells>
  <pageMargins left="0.511811024" right="0.511811024" top="0.78740157499999996" bottom="0.78740157499999996" header="0.31496062000000002" footer="0.31496062000000002"/>
  <pageSetup paperSize="9" scale="71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25"/>
  <sheetViews>
    <sheetView view="pageBreakPreview" topLeftCell="A5" zoomScale="60" zoomScaleNormal="100" workbookViewId="0">
      <selection activeCell="D18" sqref="D18:F18"/>
    </sheetView>
  </sheetViews>
  <sheetFormatPr defaultRowHeight="13.2" x14ac:dyDescent="0.25"/>
  <cols>
    <col min="3" max="3" width="67.6640625" customWidth="1"/>
    <col min="6" max="6" width="20.44140625" customWidth="1"/>
    <col min="7" max="7" width="15.6640625" customWidth="1"/>
  </cols>
  <sheetData>
    <row r="2" spans="1:7" x14ac:dyDescent="0.25">
      <c r="F2" s="443" t="s">
        <v>495</v>
      </c>
      <c r="G2" s="443"/>
    </row>
    <row r="3" spans="1:7" ht="13.8" thickBot="1" x14ac:dyDescent="0.3"/>
    <row r="4" spans="1:7" ht="18.75" customHeight="1" thickBot="1" x14ac:dyDescent="0.3">
      <c r="A4" s="335"/>
      <c r="B4" s="434" t="s">
        <v>135</v>
      </c>
      <c r="C4" s="435"/>
      <c r="D4" s="435"/>
      <c r="E4" s="435"/>
      <c r="F4" s="435"/>
      <c r="G4" s="436"/>
    </row>
    <row r="5" spans="1:7" ht="35.4" thickBot="1" x14ac:dyDescent="0.3">
      <c r="A5" s="437" t="s">
        <v>473</v>
      </c>
      <c r="B5" s="438"/>
      <c r="C5" s="336" t="s">
        <v>474</v>
      </c>
      <c r="D5" s="337" t="s">
        <v>475</v>
      </c>
      <c r="E5" s="337" t="s">
        <v>476</v>
      </c>
      <c r="F5" s="337" t="s">
        <v>477</v>
      </c>
      <c r="G5" s="338" t="s">
        <v>478</v>
      </c>
    </row>
    <row r="6" spans="1:7" ht="34.799999999999997" x14ac:dyDescent="0.25">
      <c r="A6" s="339"/>
      <c r="B6" s="340">
        <v>88273</v>
      </c>
      <c r="C6" s="341" t="s">
        <v>479</v>
      </c>
      <c r="D6" s="342" t="s">
        <v>480</v>
      </c>
      <c r="E6" s="343">
        <v>5.3</v>
      </c>
      <c r="F6" s="344">
        <v>14.74</v>
      </c>
      <c r="G6" s="345">
        <f t="shared" ref="G6:G17" si="0">TRUNC(E6*F6,2)</f>
        <v>78.12</v>
      </c>
    </row>
    <row r="7" spans="1:7" ht="21" x14ac:dyDescent="0.25">
      <c r="A7" s="339"/>
      <c r="B7" s="340">
        <v>88310</v>
      </c>
      <c r="C7" s="341" t="s">
        <v>481</v>
      </c>
      <c r="D7" s="342" t="s">
        <v>480</v>
      </c>
      <c r="E7" s="343">
        <v>2.7</v>
      </c>
      <c r="F7" s="344">
        <v>15.93</v>
      </c>
      <c r="G7" s="345">
        <f t="shared" si="0"/>
        <v>43.01</v>
      </c>
    </row>
    <row r="8" spans="1:7" ht="21" x14ac:dyDescent="0.25">
      <c r="A8" s="339"/>
      <c r="B8" s="340">
        <v>88309</v>
      </c>
      <c r="C8" s="341" t="s">
        <v>482</v>
      </c>
      <c r="D8" s="342" t="s">
        <v>480</v>
      </c>
      <c r="E8" s="343">
        <v>1.5</v>
      </c>
      <c r="F8" s="344">
        <v>15.99</v>
      </c>
      <c r="G8" s="345">
        <f t="shared" si="0"/>
        <v>23.98</v>
      </c>
    </row>
    <row r="9" spans="1:7" ht="36" customHeight="1" x14ac:dyDescent="0.25">
      <c r="A9" s="339"/>
      <c r="B9" s="340">
        <v>88316</v>
      </c>
      <c r="C9" s="341" t="s">
        <v>483</v>
      </c>
      <c r="D9" s="342" t="s">
        <v>480</v>
      </c>
      <c r="E9" s="343">
        <v>5</v>
      </c>
      <c r="F9" s="344">
        <v>12.97</v>
      </c>
      <c r="G9" s="345">
        <f t="shared" si="0"/>
        <v>64.849999999999994</v>
      </c>
    </row>
    <row r="10" spans="1:7" ht="36" customHeight="1" x14ac:dyDescent="0.25">
      <c r="A10" s="339"/>
      <c r="B10" s="340">
        <v>2747</v>
      </c>
      <c r="C10" s="341" t="s">
        <v>484</v>
      </c>
      <c r="D10" s="342" t="s">
        <v>20</v>
      </c>
      <c r="E10" s="343">
        <v>0.97</v>
      </c>
      <c r="F10" s="344">
        <v>16.04</v>
      </c>
      <c r="G10" s="345">
        <f t="shared" si="0"/>
        <v>15.55</v>
      </c>
    </row>
    <row r="11" spans="1:7" ht="36" customHeight="1" x14ac:dyDescent="0.25">
      <c r="A11" s="339"/>
      <c r="B11" s="340">
        <v>4006</v>
      </c>
      <c r="C11" s="341" t="s">
        <v>485</v>
      </c>
      <c r="D11" s="342" t="s">
        <v>19</v>
      </c>
      <c r="E11" s="343">
        <v>0.68</v>
      </c>
      <c r="F11" s="344">
        <v>440.9</v>
      </c>
      <c r="G11" s="345">
        <f t="shared" si="0"/>
        <v>299.81</v>
      </c>
    </row>
    <row r="12" spans="1:7" ht="36" customHeight="1" x14ac:dyDescent="0.25">
      <c r="A12" s="339"/>
      <c r="B12" s="340">
        <v>1379</v>
      </c>
      <c r="C12" s="341" t="s">
        <v>486</v>
      </c>
      <c r="D12" s="342" t="s">
        <v>132</v>
      </c>
      <c r="E12" s="343">
        <v>8</v>
      </c>
      <c r="F12" s="344">
        <v>0.48</v>
      </c>
      <c r="G12" s="345">
        <f t="shared" si="0"/>
        <v>3.84</v>
      </c>
    </row>
    <row r="13" spans="1:7" ht="36" customHeight="1" x14ac:dyDescent="0.25">
      <c r="A13" s="339"/>
      <c r="B13" s="340">
        <v>370</v>
      </c>
      <c r="C13" s="341" t="s">
        <v>487</v>
      </c>
      <c r="D13" s="342" t="s">
        <v>19</v>
      </c>
      <c r="E13" s="343">
        <v>0.05</v>
      </c>
      <c r="F13" s="344">
        <v>46</v>
      </c>
      <c r="G13" s="345">
        <f t="shared" si="0"/>
        <v>2.2999999999999998</v>
      </c>
    </row>
    <row r="14" spans="1:7" ht="36" customHeight="1" x14ac:dyDescent="0.25">
      <c r="A14" s="339"/>
      <c r="B14" s="340">
        <v>4721</v>
      </c>
      <c r="C14" s="341" t="s">
        <v>488</v>
      </c>
      <c r="D14" s="342" t="s">
        <v>19</v>
      </c>
      <c r="E14" s="343">
        <v>0.03</v>
      </c>
      <c r="F14" s="344">
        <v>54.59</v>
      </c>
      <c r="G14" s="345">
        <f t="shared" si="0"/>
        <v>1.63</v>
      </c>
    </row>
    <row r="15" spans="1:7" ht="36" customHeight="1" x14ac:dyDescent="0.25">
      <c r="A15" s="339"/>
      <c r="B15" s="340">
        <v>7340</v>
      </c>
      <c r="C15" s="341" t="s">
        <v>489</v>
      </c>
      <c r="D15" s="342" t="s">
        <v>490</v>
      </c>
      <c r="E15" s="343">
        <v>2</v>
      </c>
      <c r="F15" s="344">
        <v>16.88</v>
      </c>
      <c r="G15" s="345">
        <f t="shared" si="0"/>
        <v>33.76</v>
      </c>
    </row>
    <row r="16" spans="1:7" ht="36" customHeight="1" x14ac:dyDescent="0.25">
      <c r="A16" s="339"/>
      <c r="B16" s="340">
        <v>88830</v>
      </c>
      <c r="C16" s="341" t="s">
        <v>491</v>
      </c>
      <c r="D16" s="342" t="s">
        <v>480</v>
      </c>
      <c r="E16" s="343">
        <v>2</v>
      </c>
      <c r="F16" s="344">
        <v>0.94</v>
      </c>
      <c r="G16" s="345">
        <f t="shared" si="0"/>
        <v>1.88</v>
      </c>
    </row>
    <row r="17" spans="1:7" ht="36" customHeight="1" x14ac:dyDescent="0.25">
      <c r="A17" s="339"/>
      <c r="B17" s="340">
        <v>96309</v>
      </c>
      <c r="C17" s="341" t="s">
        <v>492</v>
      </c>
      <c r="D17" s="342" t="s">
        <v>480</v>
      </c>
      <c r="E17" s="343">
        <v>2.7</v>
      </c>
      <c r="F17" s="344">
        <v>0.8</v>
      </c>
      <c r="G17" s="345">
        <f t="shared" si="0"/>
        <v>2.16</v>
      </c>
    </row>
    <row r="18" spans="1:7" ht="16.2" thickBot="1" x14ac:dyDescent="0.3">
      <c r="A18" s="439"/>
      <c r="B18" s="440"/>
      <c r="C18" s="441"/>
      <c r="D18" s="442" t="s">
        <v>494</v>
      </c>
      <c r="E18" s="440"/>
      <c r="F18" s="441"/>
      <c r="G18" s="346">
        <f>SUM(G6:G17)</f>
        <v>570.88999999999987</v>
      </c>
    </row>
    <row r="19" spans="1:7" x14ac:dyDescent="0.25">
      <c r="A19" s="63"/>
      <c r="B19" s="62"/>
    </row>
    <row r="20" spans="1:7" x14ac:dyDescent="0.25">
      <c r="A20" s="62"/>
      <c r="B20" s="62"/>
    </row>
    <row r="21" spans="1:7" x14ac:dyDescent="0.25">
      <c r="A21" s="62"/>
      <c r="B21" s="62"/>
    </row>
    <row r="22" spans="1:7" x14ac:dyDescent="0.25">
      <c r="A22" s="62"/>
      <c r="B22" s="62"/>
    </row>
    <row r="23" spans="1:7" x14ac:dyDescent="0.25">
      <c r="A23" s="63"/>
      <c r="B23" s="62"/>
      <c r="C23" s="166" t="s">
        <v>445</v>
      </c>
    </row>
    <row r="24" spans="1:7" x14ac:dyDescent="0.25">
      <c r="A24" s="63"/>
      <c r="B24" s="167"/>
      <c r="C24" s="167" t="s">
        <v>558</v>
      </c>
    </row>
    <row r="25" spans="1:7" x14ac:dyDescent="0.25">
      <c r="A25" s="62"/>
      <c r="B25" s="62"/>
    </row>
  </sheetData>
  <mergeCells count="5">
    <mergeCell ref="B4:G4"/>
    <mergeCell ref="A5:B5"/>
    <mergeCell ref="A18:C18"/>
    <mergeCell ref="D18:F18"/>
    <mergeCell ref="F2:G2"/>
  </mergeCells>
  <pageMargins left="0.511811024" right="0.511811024" top="0.78740157499999996" bottom="0.78740157499999996" header="0.31496062000000002" footer="0.31496062000000002"/>
  <pageSetup paperSize="9" scale="66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36"/>
  <sheetViews>
    <sheetView view="pageBreakPreview" topLeftCell="A19" zoomScale="60" zoomScaleNormal="100" workbookViewId="0">
      <selection activeCell="F31" sqref="F31"/>
    </sheetView>
  </sheetViews>
  <sheetFormatPr defaultRowHeight="13.2" x14ac:dyDescent="0.25"/>
  <cols>
    <col min="3" max="3" width="67.6640625" customWidth="1"/>
    <col min="6" max="6" width="21" customWidth="1"/>
    <col min="7" max="7" width="17.109375" customWidth="1"/>
  </cols>
  <sheetData>
    <row r="2" spans="1:7" x14ac:dyDescent="0.25">
      <c r="F2" s="443" t="s">
        <v>495</v>
      </c>
      <c r="G2" s="443"/>
    </row>
    <row r="3" spans="1:7" ht="13.8" thickBot="1" x14ac:dyDescent="0.3"/>
    <row r="4" spans="1:7" ht="18" thickBot="1" x14ac:dyDescent="0.3">
      <c r="A4" s="335"/>
      <c r="B4" s="434" t="s">
        <v>136</v>
      </c>
      <c r="C4" s="435"/>
      <c r="D4" s="435"/>
      <c r="E4" s="435"/>
      <c r="F4" s="435"/>
      <c r="G4" s="436"/>
    </row>
    <row r="5" spans="1:7" ht="35.4" thickBot="1" x14ac:dyDescent="0.3">
      <c r="A5" s="437" t="s">
        <v>473</v>
      </c>
      <c r="B5" s="438"/>
      <c r="C5" s="336" t="s">
        <v>474</v>
      </c>
      <c r="D5" s="337" t="s">
        <v>475</v>
      </c>
      <c r="E5" s="337" t="s">
        <v>476</v>
      </c>
      <c r="F5" s="337" t="s">
        <v>477</v>
      </c>
      <c r="G5" s="338" t="s">
        <v>478</v>
      </c>
    </row>
    <row r="6" spans="1:7" ht="36" customHeight="1" x14ac:dyDescent="0.25">
      <c r="A6" s="339"/>
      <c r="B6" s="340">
        <v>88315</v>
      </c>
      <c r="C6" s="341" t="s">
        <v>501</v>
      </c>
      <c r="D6" s="342" t="s">
        <v>480</v>
      </c>
      <c r="E6" s="343">
        <v>2.5</v>
      </c>
      <c r="F6" s="344">
        <v>15.24</v>
      </c>
      <c r="G6" s="345">
        <f t="shared" ref="G6:G19" si="0">TRUNC(E6*F6,2)</f>
        <v>38.1</v>
      </c>
    </row>
    <row r="7" spans="1:7" ht="36" customHeight="1" x14ac:dyDescent="0.25">
      <c r="A7" s="339"/>
      <c r="B7" s="340">
        <v>88317</v>
      </c>
      <c r="C7" s="341" t="s">
        <v>502</v>
      </c>
      <c r="D7" s="342" t="s">
        <v>480</v>
      </c>
      <c r="E7" s="343">
        <v>3</v>
      </c>
      <c r="F7" s="344">
        <v>16.100000000000001</v>
      </c>
      <c r="G7" s="345">
        <f t="shared" si="0"/>
        <v>48.3</v>
      </c>
    </row>
    <row r="8" spans="1:7" ht="36" customHeight="1" x14ac:dyDescent="0.25">
      <c r="A8" s="339"/>
      <c r="B8" s="340">
        <v>88310</v>
      </c>
      <c r="C8" s="341" t="s">
        <v>481</v>
      </c>
      <c r="D8" s="342" t="s">
        <v>480</v>
      </c>
      <c r="E8" s="343">
        <v>2.7</v>
      </c>
      <c r="F8" s="344">
        <v>15.93</v>
      </c>
      <c r="G8" s="345">
        <f t="shared" si="0"/>
        <v>43.01</v>
      </c>
    </row>
    <row r="9" spans="1:7" ht="36" customHeight="1" x14ac:dyDescent="0.25">
      <c r="A9" s="339"/>
      <c r="B9" s="340">
        <v>88309</v>
      </c>
      <c r="C9" s="341" t="s">
        <v>482</v>
      </c>
      <c r="D9" s="342" t="s">
        <v>480</v>
      </c>
      <c r="E9" s="343">
        <v>1.5</v>
      </c>
      <c r="F9" s="344">
        <v>15.99</v>
      </c>
      <c r="G9" s="345">
        <f t="shared" si="0"/>
        <v>23.98</v>
      </c>
    </row>
    <row r="10" spans="1:7" ht="36" customHeight="1" x14ac:dyDescent="0.25">
      <c r="A10" s="339"/>
      <c r="B10" s="340">
        <v>88316</v>
      </c>
      <c r="C10" s="341" t="s">
        <v>483</v>
      </c>
      <c r="D10" s="342" t="s">
        <v>480</v>
      </c>
      <c r="E10" s="343">
        <v>5</v>
      </c>
      <c r="F10" s="344">
        <v>12.97</v>
      </c>
      <c r="G10" s="345">
        <f t="shared" si="0"/>
        <v>64.849999999999994</v>
      </c>
    </row>
    <row r="11" spans="1:7" ht="36" customHeight="1" x14ac:dyDescent="0.25">
      <c r="A11" s="339"/>
      <c r="B11" s="340">
        <v>21012</v>
      </c>
      <c r="C11" s="341" t="s">
        <v>503</v>
      </c>
      <c r="D11" s="342" t="s">
        <v>20</v>
      </c>
      <c r="E11" s="343">
        <v>30</v>
      </c>
      <c r="F11" s="344">
        <v>26.62</v>
      </c>
      <c r="G11" s="345">
        <f t="shared" si="0"/>
        <v>798.6</v>
      </c>
    </row>
    <row r="12" spans="1:7" ht="36" customHeight="1" x14ac:dyDescent="0.25">
      <c r="A12" s="339"/>
      <c r="B12" s="340">
        <v>1379</v>
      </c>
      <c r="C12" s="341" t="s">
        <v>486</v>
      </c>
      <c r="D12" s="342" t="s">
        <v>132</v>
      </c>
      <c r="E12" s="343">
        <v>10</v>
      </c>
      <c r="F12" s="344">
        <v>0.48</v>
      </c>
      <c r="G12" s="345">
        <f t="shared" si="0"/>
        <v>4.8</v>
      </c>
    </row>
    <row r="13" spans="1:7" ht="36" customHeight="1" x14ac:dyDescent="0.25">
      <c r="A13" s="339"/>
      <c r="B13" s="340">
        <v>370</v>
      </c>
      <c r="C13" s="341" t="s">
        <v>487</v>
      </c>
      <c r="D13" s="342" t="s">
        <v>19</v>
      </c>
      <c r="E13" s="343">
        <v>0.1</v>
      </c>
      <c r="F13" s="344">
        <v>46</v>
      </c>
      <c r="G13" s="345">
        <f t="shared" si="0"/>
        <v>4.5999999999999996</v>
      </c>
    </row>
    <row r="14" spans="1:7" ht="36" customHeight="1" x14ac:dyDescent="0.25">
      <c r="A14" s="339"/>
      <c r="B14" s="340">
        <v>4721</v>
      </c>
      <c r="C14" s="341" t="s">
        <v>488</v>
      </c>
      <c r="D14" s="342" t="s">
        <v>19</v>
      </c>
      <c r="E14" s="343">
        <v>0.08</v>
      </c>
      <c r="F14" s="344">
        <v>54.59</v>
      </c>
      <c r="G14" s="345">
        <f t="shared" si="0"/>
        <v>4.3600000000000003</v>
      </c>
    </row>
    <row r="15" spans="1:7" ht="36" customHeight="1" x14ac:dyDescent="0.25">
      <c r="A15" s="339"/>
      <c r="B15" s="340">
        <v>7306</v>
      </c>
      <c r="C15" s="341" t="s">
        <v>504</v>
      </c>
      <c r="D15" s="342" t="s">
        <v>490</v>
      </c>
      <c r="E15" s="343">
        <v>1.5</v>
      </c>
      <c r="F15" s="344">
        <v>22.69</v>
      </c>
      <c r="G15" s="345">
        <f t="shared" si="0"/>
        <v>34.03</v>
      </c>
    </row>
    <row r="16" spans="1:7" ht="36" customHeight="1" x14ac:dyDescent="0.25">
      <c r="A16" s="339"/>
      <c r="B16" s="340">
        <v>13388</v>
      </c>
      <c r="C16" s="341" t="s">
        <v>505</v>
      </c>
      <c r="D16" s="342" t="s">
        <v>132</v>
      </c>
      <c r="E16" s="343">
        <v>0.15</v>
      </c>
      <c r="F16" s="344">
        <v>81.510000000000005</v>
      </c>
      <c r="G16" s="345">
        <f t="shared" si="0"/>
        <v>12.22</v>
      </c>
    </row>
    <row r="17" spans="1:7" ht="36" customHeight="1" x14ac:dyDescent="0.25">
      <c r="A17" s="339"/>
      <c r="B17" s="340">
        <v>83766</v>
      </c>
      <c r="C17" s="341" t="s">
        <v>506</v>
      </c>
      <c r="D17" s="342" t="s">
        <v>480</v>
      </c>
      <c r="E17" s="343">
        <v>3</v>
      </c>
      <c r="F17" s="344">
        <v>24.26</v>
      </c>
      <c r="G17" s="345">
        <f t="shared" si="0"/>
        <v>72.78</v>
      </c>
    </row>
    <row r="18" spans="1:7" ht="36" customHeight="1" x14ac:dyDescent="0.25">
      <c r="A18" s="339"/>
      <c r="B18" s="340">
        <v>88830</v>
      </c>
      <c r="C18" s="341" t="s">
        <v>491</v>
      </c>
      <c r="D18" s="342" t="s">
        <v>480</v>
      </c>
      <c r="E18" s="343">
        <v>2</v>
      </c>
      <c r="F18" s="344">
        <v>0.94</v>
      </c>
      <c r="G18" s="345">
        <f t="shared" si="0"/>
        <v>1.88</v>
      </c>
    </row>
    <row r="19" spans="1:7" ht="36" customHeight="1" x14ac:dyDescent="0.25">
      <c r="A19" s="339"/>
      <c r="B19" s="340">
        <v>96309</v>
      </c>
      <c r="C19" s="341" t="s">
        <v>492</v>
      </c>
      <c r="D19" s="342" t="s">
        <v>480</v>
      </c>
      <c r="E19" s="343">
        <v>2.7</v>
      </c>
      <c r="F19" s="344">
        <v>0.8</v>
      </c>
      <c r="G19" s="345">
        <f t="shared" si="0"/>
        <v>2.16</v>
      </c>
    </row>
    <row r="20" spans="1:7" ht="36" customHeight="1" thickBot="1" x14ac:dyDescent="0.3">
      <c r="A20" s="439"/>
      <c r="B20" s="440"/>
      <c r="C20" s="441"/>
      <c r="D20" s="442" t="s">
        <v>507</v>
      </c>
      <c r="E20" s="440"/>
      <c r="F20" s="441"/>
      <c r="G20" s="346">
        <f>SUM(G6:G19)</f>
        <v>1153.67</v>
      </c>
    </row>
    <row r="21" spans="1:7" ht="36" customHeight="1" x14ac:dyDescent="0.25">
      <c r="A21" s="63"/>
      <c r="B21" s="62"/>
    </row>
    <row r="22" spans="1:7" ht="36" customHeight="1" x14ac:dyDescent="0.25">
      <c r="A22" s="62"/>
      <c r="B22" s="62"/>
    </row>
    <row r="23" spans="1:7" ht="36" customHeight="1" x14ac:dyDescent="0.25">
      <c r="A23" s="62"/>
      <c r="B23" s="62"/>
    </row>
    <row r="24" spans="1:7" x14ac:dyDescent="0.25">
      <c r="A24" s="62"/>
      <c r="B24" s="62"/>
      <c r="C24" s="166" t="s">
        <v>445</v>
      </c>
    </row>
    <row r="25" spans="1:7" x14ac:dyDescent="0.25">
      <c r="A25" s="63"/>
      <c r="B25" s="62"/>
      <c r="C25" s="167" t="s">
        <v>558</v>
      </c>
    </row>
    <row r="26" spans="1:7" ht="36" customHeight="1" x14ac:dyDescent="0.25">
      <c r="A26" s="63"/>
      <c r="B26" s="62"/>
    </row>
    <row r="27" spans="1:7" ht="36" customHeight="1" x14ac:dyDescent="0.25"/>
    <row r="28" spans="1:7" ht="36" customHeight="1" x14ac:dyDescent="0.25"/>
    <row r="29" spans="1:7" ht="36" customHeight="1" x14ac:dyDescent="0.25"/>
    <row r="30" spans="1:7" ht="36" customHeight="1" x14ac:dyDescent="0.25"/>
    <row r="31" spans="1:7" ht="36" customHeight="1" x14ac:dyDescent="0.25"/>
    <row r="32" spans="1:7" ht="36" customHeight="1" x14ac:dyDescent="0.25"/>
    <row r="33" ht="36" customHeight="1" x14ac:dyDescent="0.25"/>
    <row r="34" ht="36" customHeight="1" x14ac:dyDescent="0.25"/>
    <row r="35" ht="36" customHeight="1" x14ac:dyDescent="0.25"/>
    <row r="36" ht="36" customHeight="1" x14ac:dyDescent="0.25"/>
  </sheetData>
  <mergeCells count="5">
    <mergeCell ref="B4:G4"/>
    <mergeCell ref="A5:B5"/>
    <mergeCell ref="A20:C20"/>
    <mergeCell ref="D20:F20"/>
    <mergeCell ref="F2:G2"/>
  </mergeCells>
  <pageMargins left="0.511811024" right="0.511811024" top="0.78740157499999996" bottom="0.78740157499999996" header="0.31496062000000002" footer="0.31496062000000002"/>
  <pageSetup paperSize="9" scale="61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G39"/>
  <sheetViews>
    <sheetView view="pageBreakPreview" topLeftCell="A22" zoomScale="60" zoomScaleNormal="100" workbookViewId="0">
      <selection activeCell="G31" sqref="G31"/>
    </sheetView>
  </sheetViews>
  <sheetFormatPr defaultRowHeight="13.2" x14ac:dyDescent="0.25"/>
  <cols>
    <col min="3" max="3" width="67.6640625" customWidth="1"/>
    <col min="6" max="6" width="20.6640625" customWidth="1"/>
    <col min="7" max="7" width="15.6640625" customWidth="1"/>
  </cols>
  <sheetData>
    <row r="2" spans="1:7" x14ac:dyDescent="0.25">
      <c r="F2" s="443" t="s">
        <v>495</v>
      </c>
      <c r="G2" s="443"/>
    </row>
    <row r="3" spans="1:7" ht="13.8" thickBot="1" x14ac:dyDescent="0.3"/>
    <row r="4" spans="1:7" ht="18" thickBot="1" x14ac:dyDescent="0.3">
      <c r="A4" s="335"/>
      <c r="B4" s="434" t="s">
        <v>138</v>
      </c>
      <c r="C4" s="435"/>
      <c r="D4" s="435"/>
      <c r="E4" s="435"/>
      <c r="F4" s="435"/>
      <c r="G4" s="436"/>
    </row>
    <row r="5" spans="1:7" ht="35.4" thickBot="1" x14ac:dyDescent="0.3">
      <c r="A5" s="437" t="s">
        <v>473</v>
      </c>
      <c r="B5" s="438"/>
      <c r="C5" s="336" t="s">
        <v>474</v>
      </c>
      <c r="D5" s="337" t="s">
        <v>475</v>
      </c>
      <c r="E5" s="337" t="s">
        <v>476</v>
      </c>
      <c r="F5" s="337" t="s">
        <v>477</v>
      </c>
      <c r="G5" s="338" t="s">
        <v>478</v>
      </c>
    </row>
    <row r="6" spans="1:7" ht="36" customHeight="1" x14ac:dyDescent="0.25">
      <c r="A6" s="339"/>
      <c r="B6" s="340">
        <v>88315</v>
      </c>
      <c r="C6" s="341" t="s">
        <v>501</v>
      </c>
      <c r="D6" s="342" t="s">
        <v>480</v>
      </c>
      <c r="E6" s="343">
        <v>2.2999999999999998</v>
      </c>
      <c r="F6" s="344">
        <v>15.24</v>
      </c>
      <c r="G6" s="345">
        <f>TRUNC(E6*F6,2)</f>
        <v>35.049999999999997</v>
      </c>
    </row>
    <row r="7" spans="1:7" ht="36" customHeight="1" x14ac:dyDescent="0.25">
      <c r="A7" s="339"/>
      <c r="B7" s="340">
        <v>88317</v>
      </c>
      <c r="C7" s="341" t="s">
        <v>502</v>
      </c>
      <c r="D7" s="342" t="s">
        <v>480</v>
      </c>
      <c r="E7" s="343">
        <v>2.8</v>
      </c>
      <c r="F7" s="344">
        <v>16.100000000000001</v>
      </c>
      <c r="G7" s="345">
        <f t="shared" ref="G7:G22" si="0">TRUNC(E7*F7,2)</f>
        <v>45.08</v>
      </c>
    </row>
    <row r="8" spans="1:7" ht="36" customHeight="1" x14ac:dyDescent="0.25">
      <c r="A8" s="339"/>
      <c r="B8" s="340">
        <v>88273</v>
      </c>
      <c r="C8" s="341" t="s">
        <v>479</v>
      </c>
      <c r="D8" s="342" t="s">
        <v>480</v>
      </c>
      <c r="E8" s="343">
        <v>5.3</v>
      </c>
      <c r="F8" s="344">
        <v>14.74</v>
      </c>
      <c r="G8" s="345">
        <f t="shared" si="0"/>
        <v>78.12</v>
      </c>
    </row>
    <row r="9" spans="1:7" ht="36" customHeight="1" x14ac:dyDescent="0.25">
      <c r="A9" s="339"/>
      <c r="B9" s="340">
        <v>88310</v>
      </c>
      <c r="C9" s="341" t="s">
        <v>481</v>
      </c>
      <c r="D9" s="342" t="s">
        <v>480</v>
      </c>
      <c r="E9" s="343">
        <v>3</v>
      </c>
      <c r="F9" s="344">
        <v>15.93</v>
      </c>
      <c r="G9" s="345">
        <f t="shared" si="0"/>
        <v>47.79</v>
      </c>
    </row>
    <row r="10" spans="1:7" ht="36" customHeight="1" x14ac:dyDescent="0.25">
      <c r="A10" s="339"/>
      <c r="B10" s="340">
        <v>88309</v>
      </c>
      <c r="C10" s="341" t="s">
        <v>482</v>
      </c>
      <c r="D10" s="342" t="s">
        <v>480</v>
      </c>
      <c r="E10" s="343">
        <v>2.5</v>
      </c>
      <c r="F10" s="344">
        <v>15.99</v>
      </c>
      <c r="G10" s="345">
        <f t="shared" si="0"/>
        <v>39.97</v>
      </c>
    </row>
    <row r="11" spans="1:7" ht="36" customHeight="1" x14ac:dyDescent="0.25">
      <c r="A11" s="339"/>
      <c r="B11" s="340">
        <v>88316</v>
      </c>
      <c r="C11" s="341" t="s">
        <v>483</v>
      </c>
      <c r="D11" s="342" t="s">
        <v>480</v>
      </c>
      <c r="E11" s="343">
        <v>6</v>
      </c>
      <c r="F11" s="344">
        <v>12.97</v>
      </c>
      <c r="G11" s="345">
        <f t="shared" si="0"/>
        <v>77.819999999999993</v>
      </c>
    </row>
    <row r="12" spans="1:7" ht="36" customHeight="1" x14ac:dyDescent="0.25">
      <c r="A12" s="339"/>
      <c r="B12" s="340">
        <v>21012</v>
      </c>
      <c r="C12" s="341" t="s">
        <v>508</v>
      </c>
      <c r="D12" s="342" t="s">
        <v>20</v>
      </c>
      <c r="E12" s="343">
        <v>9</v>
      </c>
      <c r="F12" s="344">
        <v>26.62</v>
      </c>
      <c r="G12" s="345">
        <f t="shared" si="0"/>
        <v>239.58</v>
      </c>
    </row>
    <row r="13" spans="1:7" ht="36" customHeight="1" x14ac:dyDescent="0.25">
      <c r="A13" s="339"/>
      <c r="B13" s="340">
        <v>2747</v>
      </c>
      <c r="C13" s="341" t="s">
        <v>484</v>
      </c>
      <c r="D13" s="342" t="s">
        <v>20</v>
      </c>
      <c r="E13" s="343">
        <v>8.8000000000000007</v>
      </c>
      <c r="F13" s="344">
        <v>16.04</v>
      </c>
      <c r="G13" s="345">
        <f t="shared" si="0"/>
        <v>141.15</v>
      </c>
    </row>
    <row r="14" spans="1:7" ht="36" customHeight="1" x14ac:dyDescent="0.25">
      <c r="A14" s="339"/>
      <c r="B14" s="340">
        <v>394</v>
      </c>
      <c r="C14" s="341" t="s">
        <v>509</v>
      </c>
      <c r="D14" s="342" t="s">
        <v>61</v>
      </c>
      <c r="E14" s="343">
        <v>18</v>
      </c>
      <c r="F14" s="344">
        <v>2.75</v>
      </c>
      <c r="G14" s="345">
        <f t="shared" si="0"/>
        <v>49.5</v>
      </c>
    </row>
    <row r="15" spans="1:7" ht="36" customHeight="1" x14ac:dyDescent="0.25">
      <c r="A15" s="339"/>
      <c r="B15" s="340">
        <v>1379</v>
      </c>
      <c r="C15" s="341" t="s">
        <v>510</v>
      </c>
      <c r="D15" s="342" t="s">
        <v>132</v>
      </c>
      <c r="E15" s="343">
        <v>20</v>
      </c>
      <c r="F15" s="344">
        <v>0.48</v>
      </c>
      <c r="G15" s="345">
        <f t="shared" si="0"/>
        <v>9.6</v>
      </c>
    </row>
    <row r="16" spans="1:7" ht="36" customHeight="1" x14ac:dyDescent="0.25">
      <c r="A16" s="339"/>
      <c r="B16" s="340">
        <v>370</v>
      </c>
      <c r="C16" s="341" t="s">
        <v>487</v>
      </c>
      <c r="D16" s="342" t="s">
        <v>19</v>
      </c>
      <c r="E16" s="343">
        <v>0.15</v>
      </c>
      <c r="F16" s="344">
        <v>46</v>
      </c>
      <c r="G16" s="345">
        <f t="shared" si="0"/>
        <v>6.9</v>
      </c>
    </row>
    <row r="17" spans="1:7" ht="36" customHeight="1" x14ac:dyDescent="0.25">
      <c r="A17" s="339"/>
      <c r="B17" s="340">
        <v>4721</v>
      </c>
      <c r="C17" s="341" t="s">
        <v>488</v>
      </c>
      <c r="D17" s="342" t="s">
        <v>19</v>
      </c>
      <c r="E17" s="343">
        <v>0.15</v>
      </c>
      <c r="F17" s="344">
        <v>54.59</v>
      </c>
      <c r="G17" s="345">
        <f t="shared" si="0"/>
        <v>8.18</v>
      </c>
    </row>
    <row r="18" spans="1:7" ht="36" customHeight="1" x14ac:dyDescent="0.25">
      <c r="A18" s="339"/>
      <c r="B18" s="340">
        <v>7306</v>
      </c>
      <c r="C18" s="341" t="s">
        <v>504</v>
      </c>
      <c r="D18" s="342" t="s">
        <v>490</v>
      </c>
      <c r="E18" s="343">
        <v>1</v>
      </c>
      <c r="F18" s="344">
        <v>22.69</v>
      </c>
      <c r="G18" s="345">
        <f t="shared" si="0"/>
        <v>22.69</v>
      </c>
    </row>
    <row r="19" spans="1:7" ht="36" customHeight="1" x14ac:dyDescent="0.25">
      <c r="A19" s="339"/>
      <c r="B19" s="340">
        <v>13388</v>
      </c>
      <c r="C19" s="341" t="s">
        <v>505</v>
      </c>
      <c r="D19" s="342" t="s">
        <v>132</v>
      </c>
      <c r="E19" s="343">
        <v>0.13</v>
      </c>
      <c r="F19" s="344">
        <v>81.510000000000005</v>
      </c>
      <c r="G19" s="345">
        <f t="shared" si="0"/>
        <v>10.59</v>
      </c>
    </row>
    <row r="20" spans="1:7" ht="36" customHeight="1" x14ac:dyDescent="0.25">
      <c r="A20" s="339"/>
      <c r="B20" s="340">
        <v>83766</v>
      </c>
      <c r="C20" s="341" t="s">
        <v>506</v>
      </c>
      <c r="D20" s="342" t="s">
        <v>480</v>
      </c>
      <c r="E20" s="343">
        <v>2</v>
      </c>
      <c r="F20" s="344">
        <v>24.26</v>
      </c>
      <c r="G20" s="345">
        <f t="shared" si="0"/>
        <v>48.52</v>
      </c>
    </row>
    <row r="21" spans="1:7" ht="36" customHeight="1" x14ac:dyDescent="0.25">
      <c r="A21" s="339"/>
      <c r="B21" s="340">
        <v>88830</v>
      </c>
      <c r="C21" s="341" t="s">
        <v>491</v>
      </c>
      <c r="D21" s="342" t="s">
        <v>480</v>
      </c>
      <c r="E21" s="343">
        <v>1.5</v>
      </c>
      <c r="F21" s="344">
        <v>0.94</v>
      </c>
      <c r="G21" s="345">
        <f t="shared" si="0"/>
        <v>1.41</v>
      </c>
    </row>
    <row r="22" spans="1:7" ht="36" customHeight="1" x14ac:dyDescent="0.25">
      <c r="A22" s="339"/>
      <c r="B22" s="340">
        <v>96309</v>
      </c>
      <c r="C22" s="341" t="s">
        <v>492</v>
      </c>
      <c r="D22" s="342" t="s">
        <v>480</v>
      </c>
      <c r="E22" s="343">
        <v>3</v>
      </c>
      <c r="F22" s="344">
        <v>0.8</v>
      </c>
      <c r="G22" s="345">
        <f t="shared" si="0"/>
        <v>2.4</v>
      </c>
    </row>
    <row r="23" spans="1:7" ht="36" customHeight="1" thickBot="1" x14ac:dyDescent="0.3">
      <c r="A23" s="439"/>
      <c r="B23" s="440"/>
      <c r="C23" s="441"/>
      <c r="D23" s="442" t="s">
        <v>493</v>
      </c>
      <c r="E23" s="440"/>
      <c r="F23" s="441"/>
      <c r="G23" s="346">
        <f>SUM(G6:G22)</f>
        <v>864.34999999999991</v>
      </c>
    </row>
    <row r="24" spans="1:7" ht="36" customHeight="1" x14ac:dyDescent="0.25"/>
    <row r="25" spans="1:7" ht="36" customHeight="1" x14ac:dyDescent="0.25"/>
    <row r="26" spans="1:7" x14ac:dyDescent="0.25">
      <c r="C26" s="166" t="s">
        <v>445</v>
      </c>
    </row>
    <row r="27" spans="1:7" x14ac:dyDescent="0.25">
      <c r="C27" s="167" t="s">
        <v>558</v>
      </c>
    </row>
    <row r="28" spans="1:7" ht="36" customHeight="1" x14ac:dyDescent="0.25"/>
    <row r="29" spans="1:7" ht="36" customHeight="1" x14ac:dyDescent="0.25"/>
    <row r="30" spans="1:7" ht="36" customHeight="1" x14ac:dyDescent="0.25"/>
    <row r="31" spans="1:7" ht="36" customHeight="1" x14ac:dyDescent="0.25"/>
    <row r="32" spans="1:7" ht="36" customHeight="1" x14ac:dyDescent="0.25"/>
    <row r="33" ht="36" customHeight="1" x14ac:dyDescent="0.25"/>
    <row r="34" ht="36" customHeight="1" x14ac:dyDescent="0.25"/>
    <row r="35" ht="36" customHeight="1" x14ac:dyDescent="0.25"/>
    <row r="36" ht="36" customHeight="1" x14ac:dyDescent="0.25"/>
    <row r="37" ht="36" customHeight="1" x14ac:dyDescent="0.25"/>
    <row r="38" ht="36" customHeight="1" x14ac:dyDescent="0.25"/>
    <row r="39" ht="36" customHeight="1" x14ac:dyDescent="0.25"/>
  </sheetData>
  <mergeCells count="5">
    <mergeCell ref="B4:G4"/>
    <mergeCell ref="A5:B5"/>
    <mergeCell ref="A23:C23"/>
    <mergeCell ref="D23:F23"/>
    <mergeCell ref="F2:G2"/>
  </mergeCells>
  <pageMargins left="0.511811024" right="0.511811024" top="0.78740157499999996" bottom="0.78740157499999996" header="0.31496062000000002" footer="0.31496062000000002"/>
  <pageSetup paperSize="9" scale="66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G44"/>
  <sheetViews>
    <sheetView view="pageBreakPreview" topLeftCell="A28" zoomScale="60" zoomScaleNormal="100" workbookViewId="0">
      <selection activeCell="D35" sqref="D35"/>
    </sheetView>
  </sheetViews>
  <sheetFormatPr defaultRowHeight="13.2" x14ac:dyDescent="0.25"/>
  <cols>
    <col min="3" max="3" width="67.6640625" customWidth="1"/>
    <col min="6" max="6" width="23.109375" customWidth="1"/>
    <col min="7" max="7" width="17.5546875" customWidth="1"/>
  </cols>
  <sheetData>
    <row r="2" spans="1:7" x14ac:dyDescent="0.25">
      <c r="F2" s="443" t="s">
        <v>495</v>
      </c>
      <c r="G2" s="443"/>
    </row>
    <row r="3" spans="1:7" ht="13.8" thickBot="1" x14ac:dyDescent="0.3"/>
    <row r="4" spans="1:7" ht="18" thickBot="1" x14ac:dyDescent="0.3">
      <c r="A4" s="335"/>
      <c r="B4" s="434" t="s">
        <v>139</v>
      </c>
      <c r="C4" s="435"/>
      <c r="D4" s="435"/>
      <c r="E4" s="435"/>
      <c r="F4" s="435"/>
      <c r="G4" s="436"/>
    </row>
    <row r="5" spans="1:7" ht="18" thickBot="1" x14ac:dyDescent="0.3">
      <c r="A5" s="437" t="s">
        <v>473</v>
      </c>
      <c r="B5" s="438"/>
      <c r="C5" s="336" t="s">
        <v>474</v>
      </c>
      <c r="D5" s="337" t="s">
        <v>475</v>
      </c>
      <c r="E5" s="337" t="s">
        <v>476</v>
      </c>
      <c r="F5" s="337" t="s">
        <v>477</v>
      </c>
      <c r="G5" s="338" t="s">
        <v>478</v>
      </c>
    </row>
    <row r="6" spans="1:7" ht="36" customHeight="1" x14ac:dyDescent="0.25">
      <c r="A6" s="339"/>
      <c r="B6" s="340">
        <v>88273</v>
      </c>
      <c r="C6" s="341" t="s">
        <v>479</v>
      </c>
      <c r="D6" s="342" t="s">
        <v>480</v>
      </c>
      <c r="E6" s="343">
        <v>20</v>
      </c>
      <c r="F6" s="344">
        <v>14.74</v>
      </c>
      <c r="G6" s="345">
        <f t="shared" ref="G6:G31" si="0">TRUNC(E6*F6,2)</f>
        <v>294.8</v>
      </c>
    </row>
    <row r="7" spans="1:7" ht="36" customHeight="1" x14ac:dyDescent="0.25">
      <c r="A7" s="339"/>
      <c r="B7" s="340">
        <v>88242</v>
      </c>
      <c r="C7" s="341" t="s">
        <v>511</v>
      </c>
      <c r="D7" s="342" t="s">
        <v>480</v>
      </c>
      <c r="E7" s="343">
        <v>8</v>
      </c>
      <c r="F7" s="344">
        <v>12.72</v>
      </c>
      <c r="G7" s="345">
        <f t="shared" si="0"/>
        <v>101.76</v>
      </c>
    </row>
    <row r="8" spans="1:7" ht="36" customHeight="1" x14ac:dyDescent="0.25">
      <c r="A8" s="339"/>
      <c r="B8" s="340">
        <v>88309</v>
      </c>
      <c r="C8" s="341" t="s">
        <v>482</v>
      </c>
      <c r="D8" s="342" t="s">
        <v>480</v>
      </c>
      <c r="E8" s="343">
        <v>8</v>
      </c>
      <c r="F8" s="344">
        <v>15.99</v>
      </c>
      <c r="G8" s="345">
        <f t="shared" si="0"/>
        <v>127.92</v>
      </c>
    </row>
    <row r="9" spans="1:7" ht="36" customHeight="1" x14ac:dyDescent="0.25">
      <c r="A9" s="339"/>
      <c r="B9" s="340">
        <v>88310</v>
      </c>
      <c r="C9" s="341" t="s">
        <v>481</v>
      </c>
      <c r="D9" s="342" t="s">
        <v>480</v>
      </c>
      <c r="E9" s="343">
        <v>5</v>
      </c>
      <c r="F9" s="344">
        <v>15.93</v>
      </c>
      <c r="G9" s="345">
        <f t="shared" si="0"/>
        <v>79.650000000000006</v>
      </c>
    </row>
    <row r="10" spans="1:7" ht="36" customHeight="1" x14ac:dyDescent="0.25">
      <c r="A10" s="339"/>
      <c r="B10" s="340">
        <v>88315</v>
      </c>
      <c r="C10" s="341" t="s">
        <v>501</v>
      </c>
      <c r="D10" s="342" t="s">
        <v>480</v>
      </c>
      <c r="E10" s="343">
        <v>3</v>
      </c>
      <c r="F10" s="344">
        <v>15.24</v>
      </c>
      <c r="G10" s="345">
        <f t="shared" si="0"/>
        <v>45.72</v>
      </c>
    </row>
    <row r="11" spans="1:7" ht="36" customHeight="1" x14ac:dyDescent="0.25">
      <c r="A11" s="339"/>
      <c r="B11" s="340">
        <v>88317</v>
      </c>
      <c r="C11" s="341" t="s">
        <v>502</v>
      </c>
      <c r="D11" s="342" t="s">
        <v>480</v>
      </c>
      <c r="E11" s="343">
        <v>3</v>
      </c>
      <c r="F11" s="344">
        <v>16.100000000000001</v>
      </c>
      <c r="G11" s="345">
        <f t="shared" si="0"/>
        <v>48.3</v>
      </c>
    </row>
    <row r="12" spans="1:7" ht="36" customHeight="1" x14ac:dyDescent="0.25">
      <c r="A12" s="339"/>
      <c r="B12" s="340">
        <v>88261</v>
      </c>
      <c r="C12" s="341" t="s">
        <v>512</v>
      </c>
      <c r="D12" s="342" t="s">
        <v>480</v>
      </c>
      <c r="E12" s="343">
        <v>8</v>
      </c>
      <c r="F12" s="344">
        <v>15.74</v>
      </c>
      <c r="G12" s="345">
        <f t="shared" si="0"/>
        <v>125.92</v>
      </c>
    </row>
    <row r="13" spans="1:7" ht="36" customHeight="1" x14ac:dyDescent="0.25">
      <c r="A13" s="339"/>
      <c r="B13" s="340">
        <v>1379</v>
      </c>
      <c r="C13" s="341" t="s">
        <v>513</v>
      </c>
      <c r="D13" s="342" t="s">
        <v>132</v>
      </c>
      <c r="E13" s="343">
        <v>4.5</v>
      </c>
      <c r="F13" s="344">
        <v>0.48</v>
      </c>
      <c r="G13" s="345">
        <f t="shared" si="0"/>
        <v>2.16</v>
      </c>
    </row>
    <row r="14" spans="1:7" ht="36" customHeight="1" x14ac:dyDescent="0.25">
      <c r="A14" s="339"/>
      <c r="B14" s="340">
        <v>370</v>
      </c>
      <c r="C14" s="341" t="s">
        <v>514</v>
      </c>
      <c r="D14" s="342" t="s">
        <v>19</v>
      </c>
      <c r="E14" s="343">
        <v>0.06</v>
      </c>
      <c r="F14" s="344">
        <v>46</v>
      </c>
      <c r="G14" s="345">
        <f t="shared" si="0"/>
        <v>2.76</v>
      </c>
    </row>
    <row r="15" spans="1:7" ht="36" customHeight="1" x14ac:dyDescent="0.25">
      <c r="A15" s="339"/>
      <c r="B15" s="340">
        <v>4721</v>
      </c>
      <c r="C15" s="341" t="s">
        <v>515</v>
      </c>
      <c r="D15" s="342" t="s">
        <v>19</v>
      </c>
      <c r="E15" s="343">
        <v>0.05</v>
      </c>
      <c r="F15" s="344">
        <v>54.59</v>
      </c>
      <c r="G15" s="345">
        <f t="shared" si="0"/>
        <v>2.72</v>
      </c>
    </row>
    <row r="16" spans="1:7" ht="36" customHeight="1" x14ac:dyDescent="0.25">
      <c r="A16" s="339"/>
      <c r="B16" s="340">
        <v>2794</v>
      </c>
      <c r="C16" s="341" t="s">
        <v>516</v>
      </c>
      <c r="D16" s="342" t="s">
        <v>20</v>
      </c>
      <c r="E16" s="343">
        <v>35</v>
      </c>
      <c r="F16" s="344">
        <v>62.37</v>
      </c>
      <c r="G16" s="345">
        <f t="shared" si="0"/>
        <v>2182.9499999999998</v>
      </c>
    </row>
    <row r="17" spans="1:7" ht="36" customHeight="1" x14ac:dyDescent="0.25">
      <c r="A17" s="339"/>
      <c r="B17" s="340">
        <v>4119</v>
      </c>
      <c r="C17" s="341" t="s">
        <v>517</v>
      </c>
      <c r="D17" s="342" t="s">
        <v>20</v>
      </c>
      <c r="E17" s="343">
        <v>26</v>
      </c>
      <c r="F17" s="344">
        <v>25.26</v>
      </c>
      <c r="G17" s="345">
        <f t="shared" si="0"/>
        <v>656.76</v>
      </c>
    </row>
    <row r="18" spans="1:7" ht="36" customHeight="1" x14ac:dyDescent="0.25">
      <c r="A18" s="339"/>
      <c r="B18" s="340">
        <v>4299</v>
      </c>
      <c r="C18" s="341" t="s">
        <v>518</v>
      </c>
      <c r="D18" s="342" t="s">
        <v>519</v>
      </c>
      <c r="E18" s="343">
        <v>24</v>
      </c>
      <c r="F18" s="344">
        <v>0.6</v>
      </c>
      <c r="G18" s="345">
        <f t="shared" si="0"/>
        <v>14.4</v>
      </c>
    </row>
    <row r="19" spans="1:7" ht="36" customHeight="1" x14ac:dyDescent="0.25">
      <c r="A19" s="339"/>
      <c r="B19" s="340">
        <v>11058</v>
      </c>
      <c r="C19" s="341" t="s">
        <v>520</v>
      </c>
      <c r="D19" s="342" t="s">
        <v>519</v>
      </c>
      <c r="E19" s="343">
        <v>16</v>
      </c>
      <c r="F19" s="344">
        <v>0.19</v>
      </c>
      <c r="G19" s="345">
        <f t="shared" si="0"/>
        <v>3.04</v>
      </c>
    </row>
    <row r="20" spans="1:7" ht="36" customHeight="1" x14ac:dyDescent="0.25">
      <c r="A20" s="339"/>
      <c r="B20" s="340">
        <v>5086</v>
      </c>
      <c r="C20" s="341" t="s">
        <v>521</v>
      </c>
      <c r="D20" s="342" t="s">
        <v>132</v>
      </c>
      <c r="E20" s="343">
        <v>3</v>
      </c>
      <c r="F20" s="344">
        <v>23.72</v>
      </c>
      <c r="G20" s="345">
        <f t="shared" si="0"/>
        <v>71.16</v>
      </c>
    </row>
    <row r="21" spans="1:7" ht="36" customHeight="1" x14ac:dyDescent="0.25">
      <c r="A21" s="339"/>
      <c r="B21" s="340">
        <v>392</v>
      </c>
      <c r="C21" s="341" t="s">
        <v>522</v>
      </c>
      <c r="D21" s="342" t="s">
        <v>519</v>
      </c>
      <c r="E21" s="343">
        <v>6</v>
      </c>
      <c r="F21" s="344">
        <v>1.34</v>
      </c>
      <c r="G21" s="345">
        <f t="shared" si="0"/>
        <v>8.0399999999999991</v>
      </c>
    </row>
    <row r="22" spans="1:7" ht="36" customHeight="1" x14ac:dyDescent="0.25">
      <c r="A22" s="339"/>
      <c r="B22" s="340">
        <v>3767</v>
      </c>
      <c r="C22" s="341" t="s">
        <v>523</v>
      </c>
      <c r="D22" s="342" t="s">
        <v>519</v>
      </c>
      <c r="E22" s="343">
        <v>26</v>
      </c>
      <c r="F22" s="344">
        <v>0.67</v>
      </c>
      <c r="G22" s="345">
        <f t="shared" si="0"/>
        <v>17.420000000000002</v>
      </c>
    </row>
    <row r="23" spans="1:7" ht="36" customHeight="1" x14ac:dyDescent="0.25">
      <c r="A23" s="339"/>
      <c r="B23" s="340">
        <v>1333</v>
      </c>
      <c r="C23" s="341" t="s">
        <v>524</v>
      </c>
      <c r="D23" s="342" t="s">
        <v>132</v>
      </c>
      <c r="E23" s="343">
        <v>4</v>
      </c>
      <c r="F23" s="344">
        <v>5.37</v>
      </c>
      <c r="G23" s="345">
        <f t="shared" si="0"/>
        <v>21.48</v>
      </c>
    </row>
    <row r="24" spans="1:7" ht="36" customHeight="1" x14ac:dyDescent="0.25">
      <c r="A24" s="339"/>
      <c r="B24" s="340">
        <v>7340</v>
      </c>
      <c r="C24" s="341" t="s">
        <v>489</v>
      </c>
      <c r="D24" s="342" t="s">
        <v>490</v>
      </c>
      <c r="E24" s="343">
        <v>5</v>
      </c>
      <c r="F24" s="344">
        <v>16.88</v>
      </c>
      <c r="G24" s="345">
        <f t="shared" si="0"/>
        <v>84.4</v>
      </c>
    </row>
    <row r="25" spans="1:7" ht="36" customHeight="1" x14ac:dyDescent="0.25">
      <c r="A25" s="339"/>
      <c r="B25" s="340">
        <v>7353</v>
      </c>
      <c r="C25" s="341" t="s">
        <v>525</v>
      </c>
      <c r="D25" s="342" t="s">
        <v>490</v>
      </c>
      <c r="E25" s="343">
        <v>2</v>
      </c>
      <c r="F25" s="344">
        <v>20.21</v>
      </c>
      <c r="G25" s="345">
        <f t="shared" si="0"/>
        <v>40.42</v>
      </c>
    </row>
    <row r="26" spans="1:7" ht="36" customHeight="1" x14ac:dyDescent="0.25">
      <c r="A26" s="339"/>
      <c r="B26" s="340">
        <v>13388</v>
      </c>
      <c r="C26" s="341" t="s">
        <v>505</v>
      </c>
      <c r="D26" s="342" t="s">
        <v>132</v>
      </c>
      <c r="E26" s="343">
        <v>1</v>
      </c>
      <c r="F26" s="344">
        <v>81.510000000000005</v>
      </c>
      <c r="G26" s="345">
        <f t="shared" si="0"/>
        <v>81.510000000000005</v>
      </c>
    </row>
    <row r="27" spans="1:7" ht="36" customHeight="1" x14ac:dyDescent="0.25">
      <c r="A27" s="339"/>
      <c r="B27" s="340">
        <v>25931</v>
      </c>
      <c r="C27" s="341" t="s">
        <v>526</v>
      </c>
      <c r="D27" s="342" t="s">
        <v>519</v>
      </c>
      <c r="E27" s="343">
        <v>4</v>
      </c>
      <c r="F27" s="344">
        <v>58.3</v>
      </c>
      <c r="G27" s="345">
        <f t="shared" si="0"/>
        <v>233.2</v>
      </c>
    </row>
    <row r="28" spans="1:7" ht="36" customHeight="1" x14ac:dyDescent="0.25">
      <c r="A28" s="339"/>
      <c r="B28" s="340">
        <v>88830</v>
      </c>
      <c r="C28" s="341" t="s">
        <v>491</v>
      </c>
      <c r="D28" s="342" t="s">
        <v>480</v>
      </c>
      <c r="E28" s="343">
        <v>3</v>
      </c>
      <c r="F28" s="344">
        <v>0.94</v>
      </c>
      <c r="G28" s="345">
        <f t="shared" si="0"/>
        <v>2.82</v>
      </c>
    </row>
    <row r="29" spans="1:7" ht="36" customHeight="1" x14ac:dyDescent="0.25">
      <c r="A29" s="339"/>
      <c r="B29" s="340">
        <v>91692</v>
      </c>
      <c r="C29" s="341" t="s">
        <v>527</v>
      </c>
      <c r="D29" s="342" t="s">
        <v>480</v>
      </c>
      <c r="E29" s="343">
        <v>8</v>
      </c>
      <c r="F29" s="344">
        <v>21.95</v>
      </c>
      <c r="G29" s="345">
        <f t="shared" si="0"/>
        <v>175.6</v>
      </c>
    </row>
    <row r="30" spans="1:7" ht="36" customHeight="1" x14ac:dyDescent="0.25">
      <c r="A30" s="339"/>
      <c r="B30" s="340">
        <v>83766</v>
      </c>
      <c r="C30" s="341" t="s">
        <v>506</v>
      </c>
      <c r="D30" s="342" t="s">
        <v>480</v>
      </c>
      <c r="E30" s="343">
        <v>3</v>
      </c>
      <c r="F30" s="344">
        <v>24.26</v>
      </c>
      <c r="G30" s="345">
        <f t="shared" si="0"/>
        <v>72.78</v>
      </c>
    </row>
    <row r="31" spans="1:7" ht="36" customHeight="1" x14ac:dyDescent="0.25">
      <c r="A31" s="339"/>
      <c r="B31" s="340">
        <v>96309</v>
      </c>
      <c r="C31" s="341" t="s">
        <v>492</v>
      </c>
      <c r="D31" s="342" t="s">
        <v>480</v>
      </c>
      <c r="E31" s="343">
        <v>5</v>
      </c>
      <c r="F31" s="344">
        <v>0.8</v>
      </c>
      <c r="G31" s="345">
        <f t="shared" si="0"/>
        <v>4</v>
      </c>
    </row>
    <row r="32" spans="1:7" ht="36" customHeight="1" thickBot="1" x14ac:dyDescent="0.3">
      <c r="A32" s="439"/>
      <c r="B32" s="440"/>
      <c r="C32" s="441"/>
      <c r="D32" s="442" t="s">
        <v>528</v>
      </c>
      <c r="E32" s="440"/>
      <c r="F32" s="441"/>
      <c r="G32" s="346">
        <f>SUM(G6:G31)</f>
        <v>4501.6900000000005</v>
      </c>
    </row>
    <row r="33" spans="3:3" ht="36" customHeight="1" x14ac:dyDescent="0.25"/>
    <row r="34" spans="3:3" ht="36" customHeight="1" x14ac:dyDescent="0.25"/>
    <row r="35" spans="3:3" x14ac:dyDescent="0.25">
      <c r="C35" s="166" t="s">
        <v>445</v>
      </c>
    </row>
    <row r="36" spans="3:3" x14ac:dyDescent="0.25">
      <c r="C36" s="167" t="s">
        <v>558</v>
      </c>
    </row>
    <row r="37" spans="3:3" ht="36" customHeight="1" x14ac:dyDescent="0.25"/>
    <row r="38" spans="3:3" ht="36" customHeight="1" x14ac:dyDescent="0.25"/>
    <row r="39" spans="3:3" ht="36" customHeight="1" x14ac:dyDescent="0.25"/>
    <row r="40" spans="3:3" ht="36" customHeight="1" x14ac:dyDescent="0.25"/>
    <row r="41" spans="3:3" ht="36" customHeight="1" x14ac:dyDescent="0.25"/>
    <row r="42" spans="3:3" ht="36" customHeight="1" x14ac:dyDescent="0.25"/>
    <row r="43" spans="3:3" ht="36" customHeight="1" x14ac:dyDescent="0.25"/>
    <row r="44" spans="3:3" ht="36" customHeight="1" x14ac:dyDescent="0.25"/>
  </sheetData>
  <mergeCells count="5">
    <mergeCell ref="B4:G4"/>
    <mergeCell ref="A5:B5"/>
    <mergeCell ref="A32:C32"/>
    <mergeCell ref="D32:F32"/>
    <mergeCell ref="F2:G2"/>
  </mergeCells>
  <pageMargins left="0.511811024" right="0.511811024" top="0.78740157499999996" bottom="0.78740157499999996" header="0.31496062000000002" footer="0.31496062000000002"/>
  <pageSetup paperSize="9" scale="6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8</vt:i4>
      </vt:variant>
    </vt:vector>
  </HeadingPairs>
  <TitlesOfParts>
    <vt:vector size="21" baseType="lpstr">
      <vt:lpstr>Resumo</vt:lpstr>
      <vt:lpstr>Planilha</vt:lpstr>
      <vt:lpstr>Físico-Financeiro</vt:lpstr>
      <vt:lpstr>Memória de Calculo</vt:lpstr>
      <vt:lpstr>Comp 01</vt:lpstr>
      <vt:lpstr>Comp 02</vt:lpstr>
      <vt:lpstr>Comp 03</vt:lpstr>
      <vt:lpstr>Comp 04</vt:lpstr>
      <vt:lpstr>Comp 05</vt:lpstr>
      <vt:lpstr>Comp 06</vt:lpstr>
      <vt:lpstr>Comp 07</vt:lpstr>
      <vt:lpstr>Comp 08</vt:lpstr>
      <vt:lpstr>Cotação</vt:lpstr>
      <vt:lpstr>'Comp 02'!Area_de_impressao</vt:lpstr>
      <vt:lpstr>Cotação!Area_de_impressao</vt:lpstr>
      <vt:lpstr>'Memória de Calculo'!Area_de_impressao</vt:lpstr>
      <vt:lpstr>Planilha!Area_de_impressao</vt:lpstr>
      <vt:lpstr>'Físico-Financeiro'!Titulos_de_impressao</vt:lpstr>
      <vt:lpstr>'Memória de Calculo'!Titulos_de_impressao</vt:lpstr>
      <vt:lpstr>Planilha!Titulos_de_impressao</vt:lpstr>
      <vt:lpstr>Resumo!Titulos_de_impressao</vt:lpstr>
    </vt:vector>
  </TitlesOfParts>
  <Company>Caixa Econômica Federal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PARTICULAR</cp:lastModifiedBy>
  <cp:lastPrinted>2018-05-16T16:01:53Z</cp:lastPrinted>
  <dcterms:created xsi:type="dcterms:W3CDTF">2013-08-05T18:50:11Z</dcterms:created>
  <dcterms:modified xsi:type="dcterms:W3CDTF">2018-06-06T17:49:03Z</dcterms:modified>
</cp:coreProperties>
</file>